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tabRatio="562" activeTab="2"/>
  </bookViews>
  <sheets>
    <sheet name="BS 01.Giai ngan" sheetId="11" r:id="rId1"/>
    <sheet name="BS 02.Von DT" sheetId="14" r:id="rId2"/>
    <sheet name="BS 03.Von SN" sheetId="20" r:id="rId3"/>
    <sheet name="BS 04.Tổng hợp" sheetId="18" r:id="rId4"/>
    <sheet name="BS 05 XM" sheetId="26" r:id="rId5"/>
    <sheet name="BS 06 XM" sheetId="27" r:id="rId6"/>
    <sheet name="BS 07 XM" sheetId="28" r:id="rId7"/>
    <sheet name="BS 08. NQ 114" sheetId="21" r:id="rId8"/>
    <sheet name="BS 09. KDC" sheetId="22" r:id="rId9"/>
    <sheet name="BS 10. KDC" sheetId="23" r:id="rId10"/>
    <sheet name="BS 11 KDC" sheetId="24" r:id="rId11"/>
    <sheet name="BS 12 VUON" sheetId="29" r:id="rId12"/>
    <sheet name="BS 13 VUON" sheetId="30" r:id="rId13"/>
  </sheets>
  <externalReferences>
    <externalReference r:id="rId14"/>
  </externalReferences>
  <definedNames>
    <definedName name="____Goi8" localSheetId="0" hidden="1">{"'Sheet1'!$L$16"}</definedName>
    <definedName name="____Goi8" localSheetId="1" hidden="1">{"'Sheet1'!$L$16"}</definedName>
    <definedName name="____Goi8" hidden="1">{"'Sheet1'!$L$16"}</definedName>
    <definedName name="____PA3" localSheetId="0" hidden="1">{"'Sheet1'!$L$16"}</definedName>
    <definedName name="____PA3" localSheetId="1" hidden="1">{"'Sheet1'!$L$16"}</definedName>
    <definedName name="____PA3" hidden="1">{"'Sheet1'!$L$16"}</definedName>
    <definedName name="___Goi8" localSheetId="0" hidden="1">{"'Sheet1'!$L$16"}</definedName>
    <definedName name="___Goi8" localSheetId="1" hidden="1">{"'Sheet1'!$L$16"}</definedName>
    <definedName name="___Goi8" hidden="1">{"'Sheet1'!$L$16"}</definedName>
    <definedName name="___Lan1" localSheetId="0" hidden="1">{"'Sheet1'!$L$16"}</definedName>
    <definedName name="___Lan1" localSheetId="1" hidden="1">{"'Sheet1'!$L$16"}</definedName>
    <definedName name="___Lan1" hidden="1">{"'Sheet1'!$L$16"}</definedName>
    <definedName name="___LAN3" localSheetId="0" hidden="1">{"'Sheet1'!$L$16"}</definedName>
    <definedName name="___LAN3" localSheetId="1" hidden="1">{"'Sheet1'!$L$16"}</definedName>
    <definedName name="___LAN3" hidden="1">{"'Sheet1'!$L$16"}</definedName>
    <definedName name="___PA3" localSheetId="0" hidden="1">{"'Sheet1'!$L$16"}</definedName>
    <definedName name="___PA3" localSheetId="1" hidden="1">{"'Sheet1'!$L$16"}</definedName>
    <definedName name="___PA3" hidden="1">{"'Sheet1'!$L$16"}</definedName>
    <definedName name="___tt3" localSheetId="0" hidden="1">{"'Sheet1'!$L$16"}</definedName>
    <definedName name="___tt3" localSheetId="1" hidden="1">{"'Sheet1'!$L$16"}</definedName>
    <definedName name="___tt3" hidden="1">{"'Sheet1'!$L$16"}</definedName>
    <definedName name="___VLP2" localSheetId="0" hidden="1">{"'Sheet1'!$L$16"}</definedName>
    <definedName name="___VLP2" localSheetId="1" hidden="1">{"'Sheet1'!$L$16"}</definedName>
    <definedName name="___VLP2" hidden="1">{"'Sheet1'!$L$16"}</definedName>
    <definedName name="__Goi8" localSheetId="0" hidden="1">{"'Sheet1'!$L$16"}</definedName>
    <definedName name="__Goi8" localSheetId="1" hidden="1">{"'Sheet1'!$L$16"}</definedName>
    <definedName name="__Goi8" hidden="1">{"'Sheet1'!$L$16"}</definedName>
    <definedName name="__Lan1" localSheetId="0" hidden="1">{"'Sheet1'!$L$16"}</definedName>
    <definedName name="__Lan1" localSheetId="1" hidden="1">{"'Sheet1'!$L$16"}</definedName>
    <definedName name="__Lan1" hidden="1">{"'Sheet1'!$L$16"}</definedName>
    <definedName name="__LAN3" localSheetId="0" hidden="1">{"'Sheet1'!$L$16"}</definedName>
    <definedName name="__LAN3" localSheetId="1" hidden="1">{"'Sheet1'!$L$16"}</definedName>
    <definedName name="__LAN3" hidden="1">{"'Sheet1'!$L$16"}</definedName>
    <definedName name="__PA3" localSheetId="0" hidden="1">{"'Sheet1'!$L$16"}</definedName>
    <definedName name="__PA3" localSheetId="1" hidden="1">{"'Sheet1'!$L$16"}</definedName>
    <definedName name="__PA3" hidden="1">{"'Sheet1'!$L$16"}</definedName>
    <definedName name="__tt3" localSheetId="0" hidden="1">{"'Sheet1'!$L$16"}</definedName>
    <definedName name="__tt3" localSheetId="1" hidden="1">{"'Sheet1'!$L$16"}</definedName>
    <definedName name="__tt3" hidden="1">{"'Sheet1'!$L$16"}</definedName>
    <definedName name="__VLP2" localSheetId="0" hidden="1">{"'Sheet1'!$L$16"}</definedName>
    <definedName name="__VLP2" localSheetId="1" hidden="1">{"'Sheet1'!$L$16"}</definedName>
    <definedName name="__VLP2" hidden="1">{"'Sheet1'!$L$16"}</definedName>
    <definedName name="_40x4">5100</definedName>
    <definedName name="_a1" localSheetId="0" hidden="1">{"'Sheet1'!$L$16"}</definedName>
    <definedName name="_a1" localSheetId="1"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Cty501" localSheetId="0" hidden="1">{"'Sheet1'!$L$16"}</definedName>
    <definedName name="_Cty501" localSheetId="1" hidden="1">{"'Sheet1'!$L$16"}</definedName>
    <definedName name="_Cty501" hidden="1">{"'Sheet1'!$L$16"}</definedName>
    <definedName name="_d1500" localSheetId="0" hidden="1">{"'Sheet1'!$L$16"}</definedName>
    <definedName name="_d1500" localSheetId="1" hidden="1">{"'Sheet1'!$L$16"}</definedName>
    <definedName name="_d1500" hidden="1">{"'Sheet1'!$L$16"}</definedName>
    <definedName name="_xlnm._FilterDatabase" localSheetId="0" hidden="1">'BS 01.Giai ngan'!$A$8:$AF$11</definedName>
    <definedName name="_xlnm._FilterDatabase" localSheetId="1" hidden="1">'BS 02.Von DT'!$A$10:$AK$98</definedName>
    <definedName name="_xlnm._FilterDatabase" localSheetId="3" hidden="1">'BS 04.Tổng hợp'!$A$6:$E$14</definedName>
    <definedName name="_Goi8" localSheetId="0" hidden="1">{"'Sheet1'!$L$16"}</definedName>
    <definedName name="_Goi8" localSheetId="1" hidden="1">{"'Sheet1'!$L$16"}</definedName>
    <definedName name="_Goi8" hidden="1">{"'Sheet1'!$L$16"}</definedName>
    <definedName name="_h1" localSheetId="0" hidden="1">{"'Sheet1'!$L$16"}</definedName>
    <definedName name="_h1" localSheetId="1" hidden="1">{"'Sheet1'!$L$16"}</definedName>
    <definedName name="_h1" hidden="1">{"'Sheet1'!$L$16"}</definedName>
    <definedName name="_hsm2">1.1289</definedName>
    <definedName name="_hu1" localSheetId="0" hidden="1">{"'Sheet1'!$L$16"}</definedName>
    <definedName name="_hu1" localSheetId="1" hidden="1">{"'Sheet1'!$L$16"}</definedName>
    <definedName name="_hu1" hidden="1">{"'Sheet1'!$L$16"}</definedName>
    <definedName name="_hu2" localSheetId="0" hidden="1">{"'Sheet1'!$L$16"}</definedName>
    <definedName name="_hu2" localSheetId="1" hidden="1">{"'Sheet1'!$L$16"}</definedName>
    <definedName name="_hu2" hidden="1">{"'Sheet1'!$L$16"}</definedName>
    <definedName name="_hu5" localSheetId="0" hidden="1">{"'Sheet1'!$L$16"}</definedName>
    <definedName name="_hu5" localSheetId="1" hidden="1">{"'Sheet1'!$L$16"}</definedName>
    <definedName name="_hu5" hidden="1">{"'Sheet1'!$L$16"}</definedName>
    <definedName name="_hu6" localSheetId="0" hidden="1">{"'Sheet1'!$L$16"}</definedName>
    <definedName name="_hu6" localSheetId="1" hidden="1">{"'Sheet1'!$L$16"}</definedName>
    <definedName name="_hu6" hidden="1">{"'Sheet1'!$L$16"}</definedName>
    <definedName name="_Lan1" localSheetId="0" hidden="1">{"'Sheet1'!$L$16"}</definedName>
    <definedName name="_Lan1" localSheetId="1" hidden="1">{"'Sheet1'!$L$16"}</definedName>
    <definedName name="_Lan1" hidden="1">{"'Sheet1'!$L$16"}</definedName>
    <definedName name="_LAN3" localSheetId="0" hidden="1">{"'Sheet1'!$L$16"}</definedName>
    <definedName name="_LAN3" localSheetId="1" hidden="1">{"'Sheet1'!$L$16"}</definedName>
    <definedName name="_LAN3" hidden="1">{"'Sheet1'!$L$16"}</definedName>
    <definedName name="_lk2" localSheetId="0" hidden="1">{"'Sheet1'!$L$16"}</definedName>
    <definedName name="_lk2" localSheetId="1" hidden="1">{"'Sheet1'!$L$16"}</definedName>
    <definedName name="_lk2" hidden="1">{"'Sheet1'!$L$16"}</definedName>
    <definedName name="_M2" localSheetId="0" hidden="1">{"'Sheet1'!$L$16"}</definedName>
    <definedName name="_M2" localSheetId="1" hidden="1">{"'Sheet1'!$L$16"}</definedName>
    <definedName name="_M2" hidden="1">{"'Sheet1'!$L$16"}</definedName>
    <definedName name="_m4" localSheetId="0" hidden="1">{"'Sheet1'!$L$16"}</definedName>
    <definedName name="_m4" localSheetId="1" hidden="1">{"'Sheet1'!$L$16"}</definedName>
    <definedName name="_m4" hidden="1">{"'Sheet1'!$L$16"}</definedName>
    <definedName name="_Order1" hidden="1">255</definedName>
    <definedName name="_Order2" hidden="1">255</definedName>
    <definedName name="_PA3" localSheetId="0" hidden="1">{"'Sheet1'!$L$16"}</definedName>
    <definedName name="_PA3" localSheetId="1" hidden="1">{"'Sheet1'!$L$16"}</definedName>
    <definedName name="_PA3" hidden="1">{"'Sheet1'!$L$16"}</definedName>
    <definedName name="_tt3" localSheetId="0" hidden="1">{"'Sheet1'!$L$16"}</definedName>
    <definedName name="_tt3" localSheetId="1" hidden="1">{"'Sheet1'!$L$16"}</definedName>
    <definedName name="_tt3" hidden="1">{"'Sheet1'!$L$16"}</definedName>
    <definedName name="_VLP2" localSheetId="0" hidden="1">{"'Sheet1'!$L$16"}</definedName>
    <definedName name="_VLP2" localSheetId="1" hidden="1">{"'Sheet1'!$L$16"}</definedName>
    <definedName name="_VLP2" hidden="1">{"'Sheet1'!$L$16"}</definedName>
    <definedName name="ad" localSheetId="0">#REF!</definedName>
    <definedName name="ad" localSheetId="2">#REF!</definedName>
    <definedName name="ad" localSheetId="3">#REF!</definedName>
    <definedName name="ad">#REF!</definedName>
    <definedName name="afdf" localSheetId="0" hidden="1">{"'Sheet1'!$L$16"}</definedName>
    <definedName name="afdf" localSheetId="1" hidden="1">{"'Sheet1'!$L$16"}</definedName>
    <definedName name="afdf" hidden="1">{"'Sheet1'!$L$16"}</definedName>
    <definedName name="anscount" hidden="1">1</definedName>
    <definedName name="AS2DocOpenMode" hidden="1">"AS2DocumentEdit"</definedName>
    <definedName name="banQL" localSheetId="0" hidden="1">{"'Sheet1'!$L$16"}</definedName>
    <definedName name="banQL" localSheetId="1" hidden="1">{"'Sheet1'!$L$16"}</definedName>
    <definedName name="banQL" hidden="1">{"'Sheet1'!$L$16"}</definedName>
    <definedName name="bdd">1.5</definedName>
    <definedName name="Bgiang" localSheetId="0" hidden="1">{"'Sheet1'!$L$16"}</definedName>
    <definedName name="Bgiang" localSheetId="1" hidden="1">{"'Sheet1'!$L$16"}</definedName>
    <definedName name="Bgiang" hidden="1">{"'Sheet1'!$L$16"}</definedName>
    <definedName name="BHDB" localSheetId="0" hidden="1">{"'Sheet1'!$L$16"}</definedName>
    <definedName name="BHDB" localSheetId="1" hidden="1">{"'Sheet1'!$L$16"}</definedName>
    <definedName name="BHDB" hidden="1">{"'Sheet1'!$L$16"}</definedName>
    <definedName name="btl" localSheetId="0" hidden="1">{"'Sheet1'!$L$16"}</definedName>
    <definedName name="btl" localSheetId="1" hidden="1">{"'Sheet1'!$L$16"}</definedName>
    <definedName name="btl" hidden="1">{"'Sheet1'!$L$16"}</definedName>
    <definedName name="bùc" localSheetId="0">{"Book1","Dt tonghop.xls"}</definedName>
    <definedName name="bùc" localSheetId="1">{"Book1","Dt tonghop.xls"}</definedName>
    <definedName name="bùc">{"Book1","Dt tonghop.xls"}</definedName>
    <definedName name="Bulongma">8700</definedName>
    <definedName name="Button_1">"FORM_Bao_cao_cong_no_List"</definedName>
    <definedName name="CACAU">298161</definedName>
    <definedName name="ccc" localSheetId="0" hidden="1">{"'Sheet1'!$L$16"}</definedName>
    <definedName name="ccc" localSheetId="1" hidden="1">{"'Sheet1'!$L$16"}</definedName>
    <definedName name="ccc" hidden="1">{"'Sheet1'!$L$16"}</definedName>
    <definedName name="chilk" localSheetId="0" hidden="1">{"'Sheet1'!$L$16"}</definedName>
    <definedName name="chilk" localSheetId="1" hidden="1">{"'Sheet1'!$L$16"}</definedName>
    <definedName name="chilk" hidden="1">{"'Sheet1'!$L$16"}</definedName>
    <definedName name="chl" localSheetId="0" hidden="1">{"'Sheet1'!$L$16"}</definedName>
    <definedName name="chl" localSheetId="1" hidden="1">{"'Sheet1'!$L$16"}</definedName>
    <definedName name="chl" hidden="1">{"'Sheet1'!$L$16"}</definedName>
    <definedName name="chung">66</definedName>
    <definedName name="chuyen" localSheetId="0" hidden="1">{"'Sheet1'!$L$16"}</definedName>
    <definedName name="chuyen" localSheetId="1" hidden="1">{"'Sheet1'!$L$16"}</definedName>
    <definedName name="chuyen" hidden="1">{"'Sheet1'!$L$16"}</definedName>
    <definedName name="CLVC3">0.1</definedName>
    <definedName name="CONGPA1" localSheetId="0" hidden="1">{"'Sheet1'!$L$16"}</definedName>
    <definedName name="CONGPA1" localSheetId="1" hidden="1">{"'Sheet1'!$L$16"}</definedName>
    <definedName name="CONGPA1" hidden="1">{"'Sheet1'!$L$16"}</definedName>
    <definedName name="Cotsatma">9726</definedName>
    <definedName name="Cotthepma">9726</definedName>
    <definedName name="ct" localSheetId="0" hidden="1">{"'Sheet1'!$L$16"}</definedName>
    <definedName name="ct" localSheetId="1" hidden="1">{"'Sheet1'!$L$16"}</definedName>
    <definedName name="ct" hidden="1">{"'Sheet1'!$L$16"}</definedName>
    <definedName name="CTCT1" localSheetId="0" hidden="1">{"'Sheet1'!$L$16"}</definedName>
    <definedName name="CTCT1" localSheetId="1" hidden="1">{"'Sheet1'!$L$16"}</definedName>
    <definedName name="CTCT1" hidden="1">{"'Sheet1'!$L$16"}</definedName>
    <definedName name="ctieu" localSheetId="0" hidden="1">{"'Sheet1'!$L$16"}</definedName>
    <definedName name="ctieu" localSheetId="1" hidden="1">{"'Sheet1'!$L$16"}</definedName>
    <definedName name="ctieu" hidden="1">{"'Sheet1'!$L$16"}</definedName>
    <definedName name="DCL_22">12117600</definedName>
    <definedName name="DCL_35">25490000</definedName>
    <definedName name="ddd" localSheetId="0" hidden="1">{"'Sheet1'!$L$16"}</definedName>
    <definedName name="ddd" localSheetId="1" hidden="1">{"'Sheet1'!$L$16"}</definedName>
    <definedName name="ddd" hidden="1">{"'Sheet1'!$L$16"}</definedName>
    <definedName name="DenDK" localSheetId="0" hidden="1">{"'Sheet1'!$L$16"}</definedName>
    <definedName name="DenDK" localSheetId="1" hidden="1">{"'Sheet1'!$L$16"}</definedName>
    <definedName name="DenDK" hidden="1">{"'Sheet1'!$L$16"}</definedName>
    <definedName name="DFD" localSheetId="0" hidden="1">{"'Sheet1'!$L$16"}</definedName>
    <definedName name="DFD" localSheetId="1" hidden="1">{"'Sheet1'!$L$16"}</definedName>
    <definedName name="DFD" hidden="1">{"'Sheet1'!$L$16"}</definedName>
    <definedName name="dgfg" localSheetId="0" hidden="1">{"'Sheet1'!$L$16"}</definedName>
    <definedName name="dgfg" localSheetId="1" hidden="1">{"'Sheet1'!$L$16"}</definedName>
    <definedName name="dgfg" hidden="1">{"'Sheet1'!$L$16"}</definedName>
    <definedName name="dien" localSheetId="0" hidden="1">{"'Sheet1'!$L$16"}</definedName>
    <definedName name="dien" localSheetId="1" hidden="1">{"'Sheet1'!$L$16"}</definedName>
    <definedName name="dien" hidden="1">{"'Sheet1'!$L$16"}</definedName>
    <definedName name="Document_array" localSheetId="0">{"Book1"}</definedName>
    <definedName name="Document_array" localSheetId="1">{"Book1"}</definedName>
    <definedName name="Document_array">{"Book1"}</definedName>
    <definedName name="Drop1">"Drop Down 3"</definedName>
    <definedName name="dsfsdf" localSheetId="0" hidden="1">{"'Sheet1'!$L$16"}</definedName>
    <definedName name="dsfsdf" localSheetId="1" hidden="1">{"'Sheet1'!$L$16"}</definedName>
    <definedName name="dsfsdf" hidden="1">{"'Sheet1'!$L$16"}</definedName>
    <definedName name="dsjk" localSheetId="0" hidden="1">{"'Sheet1'!$L$16"}</definedName>
    <definedName name="dsjk" localSheetId="1" hidden="1">{"'Sheet1'!$L$16"}</definedName>
    <definedName name="dsjk" hidden="1">{"'Sheet1'!$L$16"}</definedName>
    <definedName name="DSTD_Clear" localSheetId="0">[1]!DSTD_Clear</definedName>
    <definedName name="DSTD_Clear" localSheetId="1">'BS 02.Von DT'!DSTD_Clear</definedName>
    <definedName name="DSTD_Clear">[0]!DSTD_Clear</definedName>
    <definedName name="dthft" localSheetId="0" hidden="1">{"'Sheet1'!$L$16"}</definedName>
    <definedName name="dthft" localSheetId="1" hidden="1">{"'Sheet1'!$L$16"}</definedName>
    <definedName name="dthft" hidden="1">{"'Sheet1'!$L$16"}</definedName>
    <definedName name="duc" localSheetId="0" hidden="1">{"'Sheet1'!$L$16"}</definedName>
    <definedName name="duc" localSheetId="1" hidden="1">{"'Sheet1'!$L$16"}</definedName>
    <definedName name="duc" hidden="1">{"'Sheet1'!$L$16"}</definedName>
    <definedName name="eqtrwy" localSheetId="0" hidden="1">{"'Sheet1'!$L$16"}</definedName>
    <definedName name="eqtrwy" localSheetId="1" hidden="1">{"'Sheet1'!$L$16"}</definedName>
    <definedName name="eqtrwy" hidden="1">{"'Sheet1'!$L$16"}</definedName>
    <definedName name="fbsdggdsf" localSheetId="0">{"DZ-TDTB2.XLS","Dcksat.xls"}</definedName>
    <definedName name="fbsdggdsf" localSheetId="1">{"DZ-TDTB2.XLS","Dcksat.xls"}</definedName>
    <definedName name="fbsdggdsf">{"DZ-TDTB2.XLS","Dcksat.xls"}</definedName>
    <definedName name="fff" localSheetId="0" hidden="1">{"'Sheet1'!$L$16"}</definedName>
    <definedName name="fff" localSheetId="1" hidden="1">{"'Sheet1'!$L$16"}</definedName>
    <definedName name="fff" hidden="1">{"'Sheet1'!$L$16"}</definedName>
    <definedName name="fg" localSheetId="0" hidden="1">{"'Sheet1'!$L$16"}</definedName>
    <definedName name="fg" localSheetId="1" hidden="1">{"'Sheet1'!$L$16"}</definedName>
    <definedName name="fg" hidden="1">{"'Sheet1'!$L$16"}</definedName>
    <definedName name="FI_12">4820</definedName>
    <definedName name="fkgjk" localSheetId="0" hidden="1">{"'Sheet1'!$L$16"}</definedName>
    <definedName name="fkgjk" localSheetId="1" hidden="1">{"'Sheet1'!$L$16"}</definedName>
    <definedName name="fkgjk" hidden="1">{"'Sheet1'!$L$16"}</definedName>
    <definedName name="fsdfdsf" localSheetId="0" hidden="1">{"'Sheet1'!$L$16"}</definedName>
    <definedName name="fsdfdsf" localSheetId="1" hidden="1">{"'Sheet1'!$L$16"}</definedName>
    <definedName name="fsdfdsf" hidden="1">{"'Sheet1'!$L$16"}</definedName>
    <definedName name="fsf" localSheetId="0">[1]!fsf</definedName>
    <definedName name="fsf" localSheetId="1">'BS 02.Von DT'!fsf</definedName>
    <definedName name="fsf">[0]!fsf</definedName>
    <definedName name="gdhgh" localSheetId="0" hidden="1">{"'Sheet1'!$L$16"}</definedName>
    <definedName name="gdhgh" localSheetId="1" hidden="1">{"'Sheet1'!$L$16"}</definedName>
    <definedName name="gdhgh" hidden="1">{"'Sheet1'!$L$16"}</definedName>
    <definedName name="gfg" localSheetId="0" hidden="1">{"'Sheet1'!$L$16"}</definedName>
    <definedName name="gfg" localSheetId="1" hidden="1">{"'Sheet1'!$L$16"}</definedName>
    <definedName name="gfg" hidden="1">{"'Sheet1'!$L$16"}</definedName>
    <definedName name="GFJHJ" localSheetId="0" hidden="1">{"'Sheet1'!$L$16"}</definedName>
    <definedName name="GFJHJ" localSheetId="1" hidden="1">{"'Sheet1'!$L$16"}</definedName>
    <definedName name="GFJHJ" hidden="1">{"'Sheet1'!$L$16"}</definedName>
    <definedName name="ggg" localSheetId="0" hidden="1">{"'Sheet1'!$L$16"}</definedName>
    <definedName name="ggg" localSheetId="1" hidden="1">{"'Sheet1'!$L$16"}</definedName>
    <definedName name="ggg" hidden="1">{"'Sheet1'!$L$16"}</definedName>
    <definedName name="ggss" localSheetId="0" hidden="1">{"'Sheet1'!$L$16"}</definedName>
    <definedName name="ggss" localSheetId="1" hidden="1">{"'Sheet1'!$L$16"}</definedName>
    <definedName name="ggss" hidden="1">{"'Sheet1'!$L$16"}</definedName>
    <definedName name="gh" localSheetId="0" hidden="1">{"'Sheet1'!$L$16"}</definedName>
    <definedName name="gh" localSheetId="1" hidden="1">{"'Sheet1'!$L$16"}</definedName>
    <definedName name="gh" hidden="1">{"'Sheet1'!$L$16"}</definedName>
    <definedName name="GHDF" localSheetId="0" hidden="1">{"'Sheet1'!$L$16"}</definedName>
    <definedName name="GHDF" localSheetId="1" hidden="1">{"'Sheet1'!$L$16"}</definedName>
    <definedName name="GHDF" hidden="1">{"'Sheet1'!$L$16"}</definedName>
    <definedName name="ghg" localSheetId="0" hidden="1">{"'Sheet1'!$L$16"}</definedName>
    <definedName name="ghg" localSheetId="1" hidden="1">{"'Sheet1'!$L$16"}</definedName>
    <definedName name="ghg" hidden="1">{"'Sheet1'!$L$16"}</definedName>
    <definedName name="ghgh" localSheetId="0" hidden="1">{"'Sheet1'!$L$16"}</definedName>
    <definedName name="ghgh" localSheetId="1" hidden="1">{"'Sheet1'!$L$16"}</definedName>
    <definedName name="ghgh" hidden="1">{"'Sheet1'!$L$16"}</definedName>
    <definedName name="gi">0.4</definedName>
    <definedName name="gjgh" localSheetId="0" hidden="1">{"'Sheet1'!$L$16"}</definedName>
    <definedName name="gjgh" localSheetId="1" hidden="1">{"'Sheet1'!$L$16"}</definedName>
    <definedName name="gjgh" hidden="1">{"'Sheet1'!$L$16"}</definedName>
    <definedName name="gjh" localSheetId="0" hidden="1">{"'Sheet1'!$L$16"}</definedName>
    <definedName name="gjh" localSheetId="1" hidden="1">{"'Sheet1'!$L$16"}</definedName>
    <definedName name="gjh" hidden="1">{"'Sheet1'!$L$16"}</definedName>
    <definedName name="h_xoa" localSheetId="0" hidden="1">{"'Sheet1'!$L$16"}</definedName>
    <definedName name="h_xoa" localSheetId="1" hidden="1">{"'Sheet1'!$L$16"}</definedName>
    <definedName name="h_xoa" hidden="1">{"'Sheet1'!$L$16"}</definedName>
    <definedName name="h_xoa2" localSheetId="0" hidden="1">{"'Sheet1'!$L$16"}</definedName>
    <definedName name="h_xoa2" localSheetId="1" hidden="1">{"'Sheet1'!$L$16"}</definedName>
    <definedName name="h_xoa2" hidden="1">{"'Sheet1'!$L$16"}</definedName>
    <definedName name="HCNA" localSheetId="0" hidden="1">{"'Sheet1'!$L$16"}</definedName>
    <definedName name="HCNA" localSheetId="1" hidden="1">{"'Sheet1'!$L$16"}</definedName>
    <definedName name="HCNA" hidden="1">{"'Sheet1'!$L$16"}</definedName>
    <definedName name="Heä_soá_laép_xaø_H">1.7</definedName>
    <definedName name="hgh" localSheetId="0" hidden="1">{"'Sheet1'!$L$16"}</definedName>
    <definedName name="hgh" localSheetId="1" hidden="1">{"'Sheet1'!$L$16"}</definedName>
    <definedName name="hgh" hidden="1">{"'Sheet1'!$L$16"}</definedName>
    <definedName name="HJ" localSheetId="0" hidden="1">{"'Sheet1'!$L$16"}</definedName>
    <definedName name="HJ" localSheetId="1" hidden="1">{"'Sheet1'!$L$16"}</definedName>
    <definedName name="HJ" hidden="1">{"'Sheet1'!$L$16"}</definedName>
    <definedName name="hjk" localSheetId="0" hidden="1">{"'Sheet1'!$L$16"}</definedName>
    <definedName name="hjk" localSheetId="1" hidden="1">{"'Sheet1'!$L$16"}</definedName>
    <definedName name="hjk" hidden="1">{"'Sheet1'!$L$16"}</definedName>
    <definedName name="hoc">55000</definedName>
    <definedName name="hs">3.36</definedName>
    <definedName name="HSCT3">0.1</definedName>
    <definedName name="HSDN">2.5</definedName>
    <definedName name="HSLXH">1.7</definedName>
    <definedName name="hsm">1.4</definedName>
    <definedName name="hsn">0.5</definedName>
    <definedName name="hsnc_cau">1.626</definedName>
    <definedName name="hsnc_cau2">1.626</definedName>
    <definedName name="hsnc_d">1.6356</definedName>
    <definedName name="hsnc_d2">1.6356</definedName>
    <definedName name="hsvl2">1</definedName>
    <definedName name="htlm" localSheetId="0" hidden="1">{"'Sheet1'!$L$16"}</definedName>
    <definedName name="htlm" localSheetId="1"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hidden="1">{"'Sheet1'!$L$16"}</definedName>
    <definedName name="html_control_xoa2" localSheetId="0" hidden="1">{"'Sheet1'!$L$16"}</definedName>
    <definedName name="html_control_xoa2" localSheetId="1"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localSheetId="0" hidden="1">{"'Sheet1'!$L$16"}</definedName>
    <definedName name="hu" localSheetId="1" hidden="1">{"'Sheet1'!$L$16"}</definedName>
    <definedName name="hu" hidden="1">{"'Sheet1'!$L$16"}</definedName>
    <definedName name="hung" localSheetId="0" hidden="1">{"'Sheet1'!$L$16"}</definedName>
    <definedName name="hung" localSheetId="1" hidden="1">{"'Sheet1'!$L$16"}</definedName>
    <definedName name="hung" hidden="1">{"'Sheet1'!$L$16"}</definedName>
    <definedName name="huy" localSheetId="0" hidden="1">{"'Sheet1'!$L$16"}</definedName>
    <definedName name="huy" localSheetId="1" hidden="1">{"'Sheet1'!$L$16"}</definedName>
    <definedName name="huy" hidden="1">{"'Sheet1'!$L$16"}</definedName>
    <definedName name="huy_xoa" localSheetId="0" hidden="1">{"'Sheet1'!$L$16"}</definedName>
    <definedName name="huy_xoa" localSheetId="1" hidden="1">{"'Sheet1'!$L$16"}</definedName>
    <definedName name="huy_xoa" hidden="1">{"'Sheet1'!$L$16"}</definedName>
    <definedName name="huy_xoa2" localSheetId="0" hidden="1">{"'Sheet1'!$L$16"}</definedName>
    <definedName name="huy_xoa2" localSheetId="1" hidden="1">{"'Sheet1'!$L$16"}</definedName>
    <definedName name="huy_xoa2" hidden="1">{"'Sheet1'!$L$16"}</definedName>
    <definedName name="iÒu_chØnh_theo_TT03" localSheetId="0">hsm</definedName>
    <definedName name="iÒu_chØnh_theo_TT03" localSheetId="1">hsm</definedName>
    <definedName name="iÒu_chØnh_theo_TT03">hsm</definedName>
    <definedName name="it" localSheetId="0" hidden="1">{"'Sheet1'!$L$16"}</definedName>
    <definedName name="it" localSheetId="1" hidden="1">{"'Sheet1'!$L$16"}</definedName>
    <definedName name="it" hidden="1">{"'Sheet1'!$L$16"}</definedName>
    <definedName name="JH" localSheetId="0" hidden="1">{"'Sheet1'!$L$16"}</definedName>
    <definedName name="JH" localSheetId="1" hidden="1">{"'Sheet1'!$L$16"}</definedName>
    <definedName name="JH" hidden="1">{"'Sheet1'!$L$16"}</definedName>
    <definedName name="JHJ" localSheetId="0" hidden="1">{"'Sheet1'!$L$16"}</definedName>
    <definedName name="JHJ" localSheetId="1" hidden="1">{"'Sheet1'!$L$16"}</definedName>
    <definedName name="JHJ" hidden="1">{"'Sheet1'!$L$16"}</definedName>
    <definedName name="jhk" localSheetId="0" hidden="1">{"'Sheet1'!$L$16"}</definedName>
    <definedName name="jhk" localSheetId="1" hidden="1">{"'Sheet1'!$L$16"}</definedName>
    <definedName name="jhk" hidden="1">{"'Sheet1'!$L$16"}</definedName>
    <definedName name="jkjhk" localSheetId="0" hidden="1">{"'Sheet1'!$L$16"}</definedName>
    <definedName name="jkjhk" localSheetId="1" hidden="1">{"'Sheet1'!$L$16"}</definedName>
    <definedName name="jkjhk" hidden="1">{"'Sheet1'!$L$16"}</definedName>
    <definedName name="JKJK" localSheetId="0" hidden="1">{"'Sheet1'!$L$16"}</definedName>
    <definedName name="JKJK" localSheetId="1" hidden="1">{"'Sheet1'!$L$16"}</definedName>
    <definedName name="JKJK" hidden="1">{"'Sheet1'!$L$16"}</definedName>
    <definedName name="JLJKL" localSheetId="0" hidden="1">{"'Sheet1'!$L$16"}</definedName>
    <definedName name="JLJKL" localSheetId="1" hidden="1">{"'Sheet1'!$L$16"}</definedName>
    <definedName name="JLJKL" hidden="1">{"'Sheet1'!$L$16"}</definedName>
    <definedName name="khac">2</definedName>
    <definedName name="khongtruotgia" localSheetId="0" hidden="1">{"'Sheet1'!$L$16"}</definedName>
    <definedName name="khongtruotgia" localSheetId="1" hidden="1">{"'Sheet1'!$L$16"}</definedName>
    <definedName name="khongtruotgia" hidden="1">{"'Sheet1'!$L$16"}</definedName>
    <definedName name="kjk" localSheetId="0" hidden="1">{"'Sheet1'!$L$16"}</definedName>
    <definedName name="kjk" localSheetId="1" hidden="1">{"'Sheet1'!$L$16"}</definedName>
    <definedName name="kjk" hidden="1">{"'Sheet1'!$L$16"}</definedName>
    <definedName name="KL" localSheetId="0" hidden="1">{"'Sheet1'!$L$16"}</definedName>
    <definedName name="KL" localSheetId="1" hidden="1">{"'Sheet1'!$L$16"}</definedName>
    <definedName name="KL" hidden="1">{"'Sheet1'!$L$16"}</definedName>
    <definedName name="KSDA" localSheetId="0" hidden="1">{"'Sheet1'!$L$16"}</definedName>
    <definedName name="KSDA" localSheetId="1" hidden="1">{"'Sheet1'!$L$16"}</definedName>
    <definedName name="KSDA" hidden="1">{"'Sheet1'!$L$16"}</definedName>
    <definedName name="kvl">1.166</definedName>
    <definedName name="L63x6">5800</definedName>
    <definedName name="LBS_22">107800000</definedName>
    <definedName name="limcount" hidden="1">13</definedName>
    <definedName name="ljkl" localSheetId="0" hidden="1">{"'Sheet1'!$L$16"}</definedName>
    <definedName name="ljkl" localSheetId="1" hidden="1">{"'Sheet1'!$L$16"}</definedName>
    <definedName name="ljkl" hidden="1">{"'Sheet1'!$L$16"}</definedName>
    <definedName name="LK" localSheetId="0" hidden="1">{"'Sheet1'!$L$16"}</definedName>
    <definedName name="LK" localSheetId="1" hidden="1">{"'Sheet1'!$L$16"}</definedName>
    <definedName name="LK" hidden="1">{"'Sheet1'!$L$16"}</definedName>
    <definedName name="Maùy_thi_coâng">"mtc"</definedName>
    <definedName name="miyu" localSheetId="0" hidden="1">{"'Sheet1'!$L$16"}</definedName>
    <definedName name="miyu" localSheetId="1" hidden="1">{"'Sheet1'!$L$16"}</definedName>
    <definedName name="miyu" hidden="1">{"'Sheet1'!$L$16"}</definedName>
    <definedName name="mo" localSheetId="0" hidden="1">{"'Sheet1'!$L$16"}</definedName>
    <definedName name="mo" localSheetId="1" hidden="1">{"'Sheet1'!$L$16"}</definedName>
    <definedName name="mo" hidden="1">{"'Sheet1'!$L$16"}</definedName>
    <definedName name="moi" localSheetId="0" hidden="1">{"'Sheet1'!$L$16"}</definedName>
    <definedName name="moi" localSheetId="1" hidden="1">{"'Sheet1'!$L$16"}</definedName>
    <definedName name="moi" hidden="1">{"'Sheet1'!$L$16"}</definedName>
    <definedName name="ncc">1.183</definedName>
    <definedName name="ncd">1.066</definedName>
    <definedName name="Ne" localSheetId="0" hidden="1">{"'Sheet1'!$L$16"}</definedName>
    <definedName name="Ne" localSheetId="1" hidden="1">{"'Sheet1'!$L$16"}</definedName>
    <definedName name="Ne" hidden="1">{"'Sheet1'!$L$16"}</definedName>
    <definedName name="ngu" localSheetId="0" hidden="1">{"'Sheet1'!$L$16"}</definedName>
    <definedName name="ngu" localSheetId="1" hidden="1">{"'Sheet1'!$L$16"}</definedName>
    <definedName name="ngu" hidden="1">{"'Sheet1'!$L$16"}</definedName>
    <definedName name="Nhaân_coâng_baäc_3_0_7__Nhoùm_1">"nc"</definedName>
    <definedName name="nhfffd" localSheetId="0">{"DZ-TDTB2.XLS","Dcksat.xls"}</definedName>
    <definedName name="nhfffd" localSheetId="1">{"DZ-TDTB2.XLS","Dcksat.xls"}</definedName>
    <definedName name="nhfffd">{"DZ-TDTB2.XLS","Dcksat.xls"}</definedName>
    <definedName name="nnn" localSheetId="0" hidden="1">{"'Sheet1'!$L$16"}</definedName>
    <definedName name="nnn" localSheetId="1" hidden="1">{"'Sheet1'!$L$16"}</definedName>
    <definedName name="nnn" hidden="1">{"'Sheet1'!$L$16"}</definedName>
    <definedName name="No.9" localSheetId="0" hidden="1">{"'Sheet1'!$L$16"}</definedName>
    <definedName name="No.9" localSheetId="1" hidden="1">{"'Sheet1'!$L$16"}</definedName>
    <definedName name="No.9" hidden="1">{"'Sheet1'!$L$16"}</definedName>
    <definedName name="o" localSheetId="0" hidden="1">{"'Sheet1'!$L$16"}</definedName>
    <definedName name="o" localSheetId="1" hidden="1">{"'Sheet1'!$L$16"}</definedName>
    <definedName name="o" hidden="1">{"'Sheet1'!$L$16"}</definedName>
    <definedName name="PL" localSheetId="0" hidden="1">{"'Sheet1'!$L$16"}</definedName>
    <definedName name="PL" localSheetId="1" hidden="1">{"'Sheet1'!$L$16"}</definedName>
    <definedName name="PL" hidden="1">{"'Sheet1'!$L$16"}</definedName>
    <definedName name="PlucBcaoTD" localSheetId="0" hidden="1">{"'Sheet1'!$L$16"}</definedName>
    <definedName name="PlucBcaoTD" localSheetId="1" hidden="1">{"'Sheet1'!$L$16"}</definedName>
    <definedName name="PlucBcaoTD" hidden="1">{"'Sheet1'!$L$16"}</definedName>
    <definedName name="_xlnm.Print_Titles" localSheetId="0">'BS 01.Giai ngan'!$5:$7</definedName>
    <definedName name="_xlnm.Print_Titles" localSheetId="1">'BS 02.Von DT'!$6:$9</definedName>
    <definedName name="_xlnm.Print_Titles" localSheetId="2">'BS 03.Von SN'!$6:$9</definedName>
    <definedName name="_xlnm.Print_Titles" localSheetId="7">'BS 08. NQ 114'!$6:$8</definedName>
    <definedName name="PtichDTL" localSheetId="0">[1]!PtichDTL</definedName>
    <definedName name="PtichDTL" localSheetId="1">'BS 02.Von DT'!PtichDTL</definedName>
    <definedName name="PtichDTL">[0]!PtichDTL</definedName>
    <definedName name="qtrwey" localSheetId="0" hidden="1">{"'Sheet1'!$L$16"}</definedName>
    <definedName name="qtrwey" localSheetId="1" hidden="1">{"'Sheet1'!$L$16"}</definedName>
    <definedName name="qtrwey" hidden="1">{"'Sheet1'!$L$16"}</definedName>
    <definedName name="rate">14000</definedName>
    <definedName name="rtr" localSheetId="0" hidden="1">{"'Sheet1'!$L$16"}</definedName>
    <definedName name="rtr" localSheetId="1" hidden="1">{"'Sheet1'!$L$16"}</definedName>
    <definedName name="rtr" hidden="1">{"'Sheet1'!$L$16"}</definedName>
    <definedName name="S" localSheetId="0">{"'Sheet1'!$L$16"}</definedName>
    <definedName name="S" localSheetId="1">{"'Sheet1'!$L$16"}</definedName>
    <definedName name="S">{"'Sheet1'!$L$16"}</definedName>
    <definedName name="SDG" localSheetId="0" hidden="1">{"'Sheet1'!$L$16"}</definedName>
    <definedName name="SDG" localSheetId="1" hidden="1">{"'Sheet1'!$L$16"}</definedName>
    <definedName name="SDG" hidden="1">{"'Sheet1'!$L$16"}</definedName>
    <definedName name="sdgfjhfj" localSheetId="0" hidden="1">{"'Sheet1'!$L$16"}</definedName>
    <definedName name="sdgfjhfj" localSheetId="1" hidden="1">{"'Sheet1'!$L$16"}</definedName>
    <definedName name="sdgfjhfj" hidden="1">{"'Sheet1'!$L$16"}</definedName>
    <definedName name="sencount" hidden="1">13</definedName>
    <definedName name="sf" localSheetId="0" hidden="1">{"'Sheet1'!$L$16"}</definedName>
    <definedName name="sf" localSheetId="1" hidden="1">{"'Sheet1'!$L$16"}</definedName>
    <definedName name="sf" hidden="1">{"'Sheet1'!$L$16"}</definedName>
    <definedName name="sfsd" localSheetId="0" hidden="1">{"'Sheet1'!$L$16"}</definedName>
    <definedName name="sfsd" localSheetId="1" hidden="1">{"'Sheet1'!$L$16"}</definedName>
    <definedName name="sfsd" hidden="1">{"'Sheet1'!$L$16"}</definedName>
    <definedName name="SS" localSheetId="0" hidden="1">{"'Sheet1'!$L$16"}</definedName>
    <definedName name="SS" localSheetId="1" hidden="1">{"'Sheet1'!$L$16"}</definedName>
    <definedName name="SS" hidden="1">{"'Sheet1'!$L$16"}</definedName>
    <definedName name="T.3" localSheetId="0" hidden="1">{"'Sheet1'!$L$16"}</definedName>
    <definedName name="T.3" localSheetId="1" hidden="1">{"'Sheet1'!$L$16"}</definedName>
    <definedName name="T.3" hidden="1">{"'Sheet1'!$L$16"}</definedName>
    <definedName name="Tæng_c_ng_suÊt_hiÖn_t_i">"THOP"</definedName>
    <definedName name="TaxTV">10%</definedName>
    <definedName name="TaxXL">5%</definedName>
    <definedName name="tecco" localSheetId="0" hidden="1">{"'Sheet1'!$L$16"}</definedName>
    <definedName name="tecco" localSheetId="1" hidden="1">{"'Sheet1'!$L$16"}</definedName>
    <definedName name="tecco" hidden="1">{"'Sheet1'!$L$16"}</definedName>
    <definedName name="tha" localSheetId="0" hidden="1">{"'Sheet1'!$L$16"}</definedName>
    <definedName name="tha" localSheetId="1" hidden="1">{"'Sheet1'!$L$16"}</definedName>
    <definedName name="tha" hidden="1">{"'Sheet1'!$L$16"}</definedName>
    <definedName name="Thang1" localSheetId="0" hidden="1">{"'Sheet1'!$L$16"}</definedName>
    <definedName name="Thang1" localSheetId="1" hidden="1">{"'Sheet1'!$L$16"}</definedName>
    <definedName name="Thang1" hidden="1">{"'Sheet1'!$L$16"}</definedName>
    <definedName name="thanh" localSheetId="0" hidden="1">{"'Sheet1'!$L$16"}</definedName>
    <definedName name="thanh" localSheetId="1" hidden="1">{"'Sheet1'!$L$16"}</definedName>
    <definedName name="thanh" hidden="1">{"'Sheet1'!$L$16"}</definedName>
    <definedName name="thepma">10500</definedName>
    <definedName name="THKS" localSheetId="0" hidden="1">{"'Sheet1'!$L$16"}</definedName>
    <definedName name="THKS" localSheetId="1" hidden="1">{"'Sheet1'!$L$16"}</definedName>
    <definedName name="THKS" hidden="1">{"'Sheet1'!$L$16"}</definedName>
    <definedName name="thue">6</definedName>
    <definedName name="thuy" localSheetId="0" hidden="1">{"'Sheet1'!$L$16"}</definedName>
    <definedName name="thuy" localSheetId="1" hidden="1">{"'Sheet1'!$L$16"}</definedName>
    <definedName name="thuy" hidden="1">{"'Sheet1'!$L$16"}</definedName>
    <definedName name="Tiepdiama">9500</definedName>
    <definedName name="TKYB">"TKYB"</definedName>
    <definedName name="trung" localSheetId="0">{"Thuxm2.xls","Sheet1"}</definedName>
    <definedName name="trung" localSheetId="1">{"Thuxm2.xls","Sheet1"}</definedName>
    <definedName name="trung">{"Thuxm2.xls","Sheet1"}</definedName>
    <definedName name="ttc">1550</definedName>
    <definedName name="ttd">1600</definedName>
    <definedName name="tuyennhanh" localSheetId="0" hidden="1">{"'Sheet1'!$L$16"}</definedName>
    <definedName name="tuyennhanh" localSheetId="1" hidden="1">{"'Sheet1'!$L$16"}</definedName>
    <definedName name="tuyennhanh" hidden="1">{"'Sheet1'!$L$16"}</definedName>
    <definedName name="v" localSheetId="0" hidden="1">{"'Sheet1'!$L$16"}</definedName>
    <definedName name="v" localSheetId="1" hidden="1">{"'Sheet1'!$L$16"}</definedName>
    <definedName name="v" hidden="1">{"'Sheet1'!$L$16"}</definedName>
    <definedName name="VAÄT_LIEÄU">"ATRAM"</definedName>
    <definedName name="VATM" localSheetId="0" hidden="1">{"'Sheet1'!$L$16"}</definedName>
    <definedName name="VATM" localSheetId="1" hidden="1">{"'Sheet1'!$L$16"}</definedName>
    <definedName name="VATM" hidden="1">{"'Sheet1'!$L$16"}</definedName>
    <definedName name="vc" localSheetId="0" hidden="1">{"'Sheet1'!$L$16"}</definedName>
    <definedName name="vc" localSheetId="1" hidden="1">{"'Sheet1'!$L$16"}</definedName>
    <definedName name="vc" hidden="1">{"'Sheet1'!$L$16"}</definedName>
    <definedName name="vcbo1" localSheetId="0" hidden="1">{"'Sheet1'!$L$16"}</definedName>
    <definedName name="vcbo1" localSheetId="1" hidden="1">{"'Sheet1'!$L$16"}</definedName>
    <definedName name="vcbo1" hidden="1">{"'Sheet1'!$L$16"}</definedName>
    <definedName name="vlct" localSheetId="0" hidden="1">{"'Sheet1'!$L$16"}</definedName>
    <definedName name="vlct" localSheetId="1" hidden="1">{"'Sheet1'!$L$16"}</definedName>
    <definedName name="vlct" hidden="1">{"'Sheet1'!$L$16"}</definedName>
    <definedName name="VLP" localSheetId="0" hidden="1">{"'Sheet1'!$L$16"}</definedName>
    <definedName name="VLP" localSheetId="1" hidden="1">{"'Sheet1'!$L$16"}</definedName>
    <definedName name="VLP" hidden="1">{"'Sheet1'!$L$16"}</definedName>
    <definedName name="XBCNCKT">5600</definedName>
    <definedName name="XCCT">0.5</definedName>
    <definedName name="xoa1" localSheetId="0" hidden="1">{"'Sheet1'!$L$16"}</definedName>
    <definedName name="xoa1" localSheetId="1" hidden="1">{"'Sheet1'!$L$16"}</definedName>
    <definedName name="xoa1" hidden="1">{"'Sheet1'!$L$16"}</definedName>
    <definedName name="XTKKTTC">7500</definedName>
    <definedName name="xvxcvxc" localSheetId="0" hidden="1">{"'Sheet1'!$L$16"}</definedName>
    <definedName name="xvxcvxc" localSheetId="1" hidden="1">{"'Sheet1'!$L$16"}</definedName>
    <definedName name="xvxcvxc" hidden="1">{"'Sheet1'!$L$16"}</definedName>
    <definedName name="yeu" localSheetId="0" hidden="1">{"'Sheet1'!$L$16"}</definedName>
    <definedName name="yeu" localSheetId="1" hidden="1">{"'Sheet1'!$L$16"}</definedName>
    <definedName name="yeu" hidden="1">{"'Sheet1'!$L$16"}</definedName>
    <definedName name="yiuti" localSheetId="0" hidden="1">{"'Sheet1'!$L$16"}</definedName>
    <definedName name="yiuti" localSheetId="1" hidden="1">{"'Sheet1'!$L$16"}</definedName>
    <definedName name="yiuti" hidden="1">{"'Sheet1'!$L$16"}</definedName>
    <definedName name="ytri" localSheetId="0" hidden="1">{"'Sheet1'!$L$16"}</definedName>
    <definedName name="ytri" localSheetId="1" hidden="1">{"'Sheet1'!$L$16"}</definedName>
    <definedName name="ytri" hidden="1">{"'Sheet1'!$L$16"}</definedName>
    <definedName name="ytru" localSheetId="0" hidden="1">{"'Sheet1'!$L$16"}</definedName>
    <definedName name="ytru" localSheetId="1" hidden="1">{"'Sheet1'!$L$16"}</definedName>
    <definedName name="ytru" hidden="1">{"'Sheet1'!$L$16"}</definedName>
    <definedName name="zcg" localSheetId="0" hidden="1">{"'Sheet1'!$L$16"}</definedName>
    <definedName name="zcg" localSheetId="1" hidden="1">{"'Sheet1'!$L$16"}</definedName>
    <definedName name="zcg" hidden="1">{"'Sheet1'!$L$16"}</definedName>
    <definedName name="zcgxf" localSheetId="0" hidden="1">{"'Sheet1'!$L$16"}</definedName>
    <definedName name="zcgxf" localSheetId="1" hidden="1">{"'Sheet1'!$L$16"}</definedName>
    <definedName name="zcgxf" hidden="1">{"'Sheet1'!$L$16"}</definedName>
  </definedNames>
  <calcPr calcId="144525" refMode="R1C1"/>
</workbook>
</file>

<file path=xl/calcChain.xml><?xml version="1.0" encoding="utf-8"?>
<calcChain xmlns="http://schemas.openxmlformats.org/spreadsheetml/2006/main">
  <c r="C38" i="20" l="1"/>
  <c r="H40" i="20" l="1"/>
  <c r="G40" i="20"/>
  <c r="H36" i="20"/>
  <c r="G36" i="20"/>
  <c r="H32" i="20"/>
  <c r="H25" i="20"/>
  <c r="G25" i="20"/>
  <c r="W24" i="23" l="1"/>
  <c r="W23" i="23"/>
  <c r="W22" i="23"/>
  <c r="W20" i="23"/>
  <c r="W17" i="23"/>
  <c r="W15" i="23"/>
  <c r="X24" i="23"/>
  <c r="X23" i="23"/>
  <c r="X22" i="23"/>
  <c r="X20" i="23"/>
  <c r="X18" i="23"/>
  <c r="X17" i="23"/>
  <c r="X15" i="23"/>
  <c r="X14" i="23"/>
  <c r="W21" i="23"/>
  <c r="W19" i="23"/>
  <c r="W18" i="23"/>
  <c r="X21" i="23"/>
  <c r="X19" i="23"/>
  <c r="X16" i="23"/>
  <c r="E17" i="23" l="1"/>
  <c r="P23" i="23"/>
  <c r="O23" i="23"/>
  <c r="E24" i="23"/>
  <c r="E14" i="23"/>
  <c r="E19" i="23"/>
  <c r="M16" i="23"/>
  <c r="M23" i="23"/>
  <c r="M22" i="23"/>
  <c r="M21" i="23"/>
  <c r="M18" i="23"/>
  <c r="E18" i="23" s="1"/>
  <c r="M20" i="23"/>
  <c r="E20" i="23" s="1"/>
  <c r="M15" i="23"/>
  <c r="AC35" i="11" l="1"/>
  <c r="AF29" i="11"/>
  <c r="AF26" i="11"/>
  <c r="I23" i="11"/>
  <c r="I22" i="11"/>
  <c r="R40" i="20"/>
  <c r="R41" i="20"/>
  <c r="R42" i="20"/>
  <c r="R43" i="20"/>
  <c r="R44" i="20"/>
  <c r="R45" i="20"/>
  <c r="R46" i="20"/>
  <c r="R39" i="20"/>
  <c r="R36" i="20"/>
  <c r="R37" i="20"/>
  <c r="R35" i="20"/>
  <c r="R31" i="20"/>
  <c r="R32" i="20"/>
  <c r="R33" i="20"/>
  <c r="R30" i="20"/>
  <c r="R25" i="20"/>
  <c r="R26" i="20"/>
  <c r="R27" i="20"/>
  <c r="R28" i="20"/>
  <c r="R21" i="20"/>
  <c r="D21" i="20" l="1"/>
  <c r="D12" i="20" l="1"/>
  <c r="X35" i="11"/>
  <c r="AC34" i="11"/>
  <c r="AF32" i="11" l="1"/>
  <c r="X13" i="23"/>
  <c r="T13" i="23"/>
  <c r="S13" i="23"/>
  <c r="R13" i="23"/>
  <c r="R11" i="23" s="1"/>
  <c r="Q20" i="23"/>
  <c r="Q21" i="23"/>
  <c r="Q15" i="23"/>
  <c r="Q16" i="23"/>
  <c r="Q17" i="23"/>
  <c r="Q18" i="23"/>
  <c r="Q22" i="23"/>
  <c r="Q23" i="23"/>
  <c r="Q24" i="23"/>
  <c r="Q14" i="23"/>
  <c r="E15" i="23"/>
  <c r="AF35" i="11" l="1"/>
  <c r="AA35" i="11"/>
  <c r="X11" i="23"/>
  <c r="Z13" i="23"/>
  <c r="Z11" i="23" s="1"/>
  <c r="F13" i="23"/>
  <c r="F11" i="23" s="1"/>
  <c r="G13" i="23"/>
  <c r="G11" i="23" s="1"/>
  <c r="H13" i="23"/>
  <c r="H11" i="23" s="1"/>
  <c r="I13" i="23"/>
  <c r="I11" i="23" s="1"/>
  <c r="J13" i="23"/>
  <c r="J11" i="23" s="1"/>
  <c r="K13" i="23"/>
  <c r="K11" i="23" s="1"/>
  <c r="L13" i="23"/>
  <c r="L11" i="23" s="1"/>
  <c r="N13" i="23"/>
  <c r="N11" i="23" s="1"/>
  <c r="O13" i="23"/>
  <c r="O11" i="23" s="1"/>
  <c r="S11" i="23"/>
  <c r="T11" i="23"/>
  <c r="U13" i="23"/>
  <c r="U11" i="23" s="1"/>
  <c r="V13" i="23"/>
  <c r="V11" i="23" s="1"/>
  <c r="W13" i="23"/>
  <c r="W11" i="23" s="1"/>
  <c r="E16" i="23"/>
  <c r="E21" i="23"/>
  <c r="E22" i="23"/>
  <c r="E23" i="23"/>
  <c r="Y43" i="20"/>
  <c r="Y44" i="20"/>
  <c r="Y45" i="20"/>
  <c r="X43" i="20"/>
  <c r="X44" i="20"/>
  <c r="X45" i="20"/>
  <c r="D28" i="20"/>
  <c r="D26" i="20" l="1"/>
  <c r="D22" i="20"/>
  <c r="D20" i="20"/>
  <c r="D18" i="20"/>
  <c r="C17" i="20" s="1"/>
  <c r="D16" i="20"/>
  <c r="D13" i="20"/>
  <c r="D11" i="20" s="1"/>
  <c r="H24" i="20"/>
  <c r="D15" i="20"/>
  <c r="X33" i="11"/>
  <c r="H14" i="28"/>
  <c r="I14" i="28" s="1"/>
  <c r="J15" i="28"/>
  <c r="J16" i="28"/>
  <c r="J17" i="28"/>
  <c r="J19" i="28"/>
  <c r="J20" i="28"/>
  <c r="J21" i="28"/>
  <c r="J18" i="28"/>
  <c r="C15" i="28"/>
  <c r="C21" i="28"/>
  <c r="C20" i="28"/>
  <c r="C19" i="28"/>
  <c r="C18" i="28"/>
  <c r="C17" i="28"/>
  <c r="C16" i="28"/>
  <c r="C14" i="28"/>
  <c r="H15" i="28"/>
  <c r="H16" i="28"/>
  <c r="H17" i="28"/>
  <c r="I17" i="28" s="1"/>
  <c r="H18" i="28"/>
  <c r="H19" i="28"/>
  <c r="I19" i="28" s="1"/>
  <c r="H20" i="28"/>
  <c r="H21" i="28"/>
  <c r="I21" i="28" s="1"/>
  <c r="K12" i="28"/>
  <c r="K11" i="28" s="1"/>
  <c r="L12" i="28"/>
  <c r="L11" i="28" s="1"/>
  <c r="M12" i="28"/>
  <c r="M11" i="28" s="1"/>
  <c r="F21" i="28"/>
  <c r="E21" i="28"/>
  <c r="D21" i="28" s="1"/>
  <c r="D12" i="28" s="1"/>
  <c r="D11" i="28" s="1"/>
  <c r="E20" i="28"/>
  <c r="E19" i="28"/>
  <c r="G19" i="28" s="1"/>
  <c r="F18" i="28"/>
  <c r="E18" i="28"/>
  <c r="G18" i="28" s="1"/>
  <c r="F17" i="28"/>
  <c r="E17" i="28"/>
  <c r="G17" i="28" s="1"/>
  <c r="F16" i="28"/>
  <c r="E16" i="28"/>
  <c r="G16" i="28" s="1"/>
  <c r="F15" i="28"/>
  <c r="F12" i="28" s="1"/>
  <c r="F11" i="28" s="1"/>
  <c r="E15" i="28"/>
  <c r="G15" i="28" s="1"/>
  <c r="G12" i="28" s="1"/>
  <c r="G11" i="28" s="1"/>
  <c r="M19" i="27"/>
  <c r="O19" i="27"/>
  <c r="N19" i="27"/>
  <c r="O20" i="27"/>
  <c r="N18" i="27"/>
  <c r="I10" i="27"/>
  <c r="J10" i="27"/>
  <c r="F20" i="27"/>
  <c r="N20" i="27" s="1"/>
  <c r="M20" i="27" s="1"/>
  <c r="E20" i="27"/>
  <c r="L20" i="27" s="1"/>
  <c r="E19" i="27"/>
  <c r="L19" i="27" s="1"/>
  <c r="E18" i="27"/>
  <c r="G18" i="27" s="1"/>
  <c r="O18" i="27" s="1"/>
  <c r="M18" i="27" s="1"/>
  <c r="F17" i="27"/>
  <c r="N17" i="27" s="1"/>
  <c r="E17" i="27"/>
  <c r="L17" i="27" s="1"/>
  <c r="F16" i="27"/>
  <c r="N16" i="27" s="1"/>
  <c r="E16" i="27"/>
  <c r="L16" i="27" s="1"/>
  <c r="F15" i="27"/>
  <c r="N15" i="27" s="1"/>
  <c r="E15" i="27"/>
  <c r="L15" i="27" s="1"/>
  <c r="F14" i="27"/>
  <c r="N14" i="27" s="1"/>
  <c r="E14" i="27"/>
  <c r="L14" i="27" s="1"/>
  <c r="F13" i="27"/>
  <c r="N13" i="27" s="1"/>
  <c r="E13" i="27"/>
  <c r="E11" i="27" s="1"/>
  <c r="E10" i="27" s="1"/>
  <c r="J11" i="27"/>
  <c r="I11" i="27"/>
  <c r="H11" i="27"/>
  <c r="H10" i="27" s="1"/>
  <c r="C11" i="27"/>
  <c r="C10" i="27" s="1"/>
  <c r="D11" i="26"/>
  <c r="E11" i="26"/>
  <c r="H11" i="26"/>
  <c r="L11" i="26"/>
  <c r="M11" i="26"/>
  <c r="P11" i="26"/>
  <c r="R12" i="26"/>
  <c r="R11" i="26" s="1"/>
  <c r="Q12" i="26"/>
  <c r="Q11" i="26" s="1"/>
  <c r="P12" i="26"/>
  <c r="O12" i="26"/>
  <c r="O11" i="26" s="1"/>
  <c r="N12" i="26"/>
  <c r="N11" i="26" s="1"/>
  <c r="M12" i="26"/>
  <c r="L12" i="26"/>
  <c r="K12" i="26"/>
  <c r="K11" i="26" s="1"/>
  <c r="J12" i="26"/>
  <c r="J11" i="26" s="1"/>
  <c r="I12" i="26"/>
  <c r="I11" i="26" s="1"/>
  <c r="H12" i="26"/>
  <c r="G12" i="26"/>
  <c r="G11" i="26" s="1"/>
  <c r="F12" i="26"/>
  <c r="F11" i="26" s="1"/>
  <c r="E12" i="26"/>
  <c r="D12" i="26"/>
  <c r="C12" i="26"/>
  <c r="C11" i="26" s="1"/>
  <c r="D24" i="20" l="1"/>
  <c r="R24" i="20"/>
  <c r="I18" i="28"/>
  <c r="I20" i="28"/>
  <c r="I15" i="28"/>
  <c r="I16" i="28"/>
  <c r="C19" i="20"/>
  <c r="E12" i="28"/>
  <c r="E11" i="28" s="1"/>
  <c r="N12" i="28"/>
  <c r="N11" i="28" s="1"/>
  <c r="O12" i="28"/>
  <c r="O11" i="28" s="1"/>
  <c r="C12" i="28"/>
  <c r="C11" i="28" s="1"/>
  <c r="H12" i="28"/>
  <c r="H11" i="28" s="1"/>
  <c r="L13" i="27"/>
  <c r="L18" i="27"/>
  <c r="K18" i="27" s="1"/>
  <c r="K19" i="27"/>
  <c r="D20" i="27"/>
  <c r="D11" i="27" s="1"/>
  <c r="D10" i="27" s="1"/>
  <c r="K20" i="27"/>
  <c r="N11" i="27"/>
  <c r="N10" i="27" s="1"/>
  <c r="G13" i="27"/>
  <c r="O13" i="27" s="1"/>
  <c r="M13" i="27" s="1"/>
  <c r="G14" i="27"/>
  <c r="G15" i="27"/>
  <c r="O15" i="27" s="1"/>
  <c r="M15" i="27" s="1"/>
  <c r="K15" i="27" s="1"/>
  <c r="G16" i="27"/>
  <c r="G17" i="27"/>
  <c r="F11" i="27"/>
  <c r="F10" i="27" s="1"/>
  <c r="I12" i="28" l="1"/>
  <c r="I11" i="28" s="1"/>
  <c r="J14" i="28"/>
  <c r="O17" i="27"/>
  <c r="M17" i="27" s="1"/>
  <c r="K17" i="27" s="1"/>
  <c r="O16" i="27"/>
  <c r="M16" i="27" s="1"/>
  <c r="K16" i="27" s="1"/>
  <c r="O14" i="27"/>
  <c r="M14" i="27" s="1"/>
  <c r="G11" i="27"/>
  <c r="G10" i="27" s="1"/>
  <c r="L11" i="27"/>
  <c r="L10" i="27" s="1"/>
  <c r="J12" i="28" l="1"/>
  <c r="J11" i="28" s="1"/>
  <c r="K14" i="27"/>
  <c r="M11" i="27"/>
  <c r="O11" i="27"/>
  <c r="O10" i="27" s="1"/>
  <c r="M10" i="27" l="1"/>
  <c r="K13" i="27"/>
  <c r="K11" i="27" s="1"/>
  <c r="K10" i="27" s="1"/>
  <c r="AI29" i="14" l="1"/>
  <c r="AI31" i="14"/>
  <c r="AI32" i="14"/>
  <c r="AI53" i="14"/>
  <c r="AI69" i="14"/>
  <c r="AI79" i="14"/>
  <c r="AI85" i="14"/>
  <c r="AI86" i="14"/>
  <c r="AI87" i="14"/>
  <c r="AI88" i="14"/>
  <c r="AI90" i="14"/>
  <c r="AI91" i="14"/>
  <c r="AI92" i="14"/>
  <c r="AI93" i="14"/>
  <c r="AI94" i="14"/>
  <c r="AI95" i="14"/>
  <c r="AI96" i="14"/>
  <c r="AI97" i="14"/>
  <c r="AI98" i="14"/>
  <c r="AH17" i="14"/>
  <c r="AH18" i="14"/>
  <c r="AH19" i="14"/>
  <c r="AH20" i="14"/>
  <c r="AH21" i="14"/>
  <c r="AH22" i="14"/>
  <c r="AH23" i="14"/>
  <c r="AH24" i="14"/>
  <c r="AH25" i="14"/>
  <c r="AH26" i="14"/>
  <c r="AH27" i="14"/>
  <c r="AH29" i="14"/>
  <c r="AH30" i="14"/>
  <c r="AH31" i="14"/>
  <c r="AH32" i="14"/>
  <c r="AH33" i="14"/>
  <c r="AH34" i="14"/>
  <c r="AH35" i="14"/>
  <c r="AH38" i="14"/>
  <c r="AH45" i="14"/>
  <c r="AH53" i="14"/>
  <c r="AH59" i="14"/>
  <c r="AH60" i="14"/>
  <c r="AH61" i="14"/>
  <c r="AH62" i="14"/>
  <c r="AH65" i="14"/>
  <c r="AH66" i="14"/>
  <c r="AH68" i="14"/>
  <c r="AH69" i="14"/>
  <c r="AH72" i="14"/>
  <c r="AH79" i="14"/>
  <c r="AH85" i="14"/>
  <c r="AH86" i="14"/>
  <c r="AH87" i="14"/>
  <c r="AH88" i="14"/>
  <c r="AH90" i="14"/>
  <c r="AH91" i="14"/>
  <c r="AH92" i="14"/>
  <c r="AH93" i="14"/>
  <c r="AH94" i="14"/>
  <c r="AH95" i="14"/>
  <c r="AH96" i="14"/>
  <c r="AH97" i="14"/>
  <c r="AH98" i="14"/>
  <c r="AH14" i="14"/>
  <c r="AH15" i="14"/>
  <c r="AH13" i="14"/>
  <c r="AI14" i="14" l="1"/>
  <c r="AI26" i="14"/>
  <c r="AI25" i="14"/>
  <c r="AI24" i="14"/>
  <c r="AI27" i="14"/>
  <c r="AI19" i="14"/>
  <c r="AI22" i="14"/>
  <c r="AI21" i="14"/>
  <c r="AI20" i="14"/>
  <c r="AI18" i="14"/>
  <c r="AI17" i="14"/>
  <c r="AI13" i="14"/>
  <c r="AI15" i="14"/>
  <c r="AI23" i="14"/>
  <c r="AI72" i="14" l="1"/>
  <c r="N13" i="14"/>
  <c r="AI35" i="14"/>
  <c r="AH64" i="14"/>
  <c r="AI61" i="14"/>
  <c r="AI73" i="14"/>
  <c r="AH73" i="14"/>
  <c r="AH44" i="14"/>
  <c r="AI38" i="14"/>
  <c r="AH56" i="14"/>
  <c r="AI60" i="14"/>
  <c r="AH71" i="14"/>
  <c r="AH46" i="14"/>
  <c r="AH37" i="14"/>
  <c r="AH55" i="14"/>
  <c r="AI59" i="14"/>
  <c r="AH75" i="14"/>
  <c r="AH47" i="14"/>
  <c r="AH57" i="14"/>
  <c r="AI68" i="14"/>
  <c r="AH43" i="14"/>
  <c r="AH39" i="14"/>
  <c r="AH48" i="14"/>
  <c r="AH63" i="14"/>
  <c r="AI30" i="14"/>
  <c r="AH40" i="14"/>
  <c r="AH49" i="14"/>
  <c r="AH54" i="14"/>
  <c r="AI66" i="14"/>
  <c r="AH74" i="14"/>
  <c r="AI33" i="14"/>
  <c r="AH41" i="14"/>
  <c r="AH50" i="14"/>
  <c r="AH58" i="14"/>
  <c r="AI65" i="14"/>
  <c r="AH84" i="14"/>
  <c r="AI34" i="14"/>
  <c r="AH42" i="14"/>
  <c r="AH51" i="14"/>
  <c r="AI62" i="14"/>
  <c r="AH70" i="14"/>
  <c r="AH83" i="14"/>
  <c r="AI63" i="14" l="1"/>
  <c r="AI55" i="14"/>
  <c r="AI84" i="14"/>
  <c r="AI71" i="14"/>
  <c r="AI70" i="14"/>
  <c r="AI42" i="14"/>
  <c r="AI45" i="14"/>
  <c r="AI57" i="14"/>
  <c r="AI37" i="14"/>
  <c r="AI75" i="14"/>
  <c r="AI83" i="14"/>
  <c r="AI58" i="14"/>
  <c r="AI74" i="14"/>
  <c r="AI64" i="14"/>
  <c r="AI40" i="14" l="1"/>
  <c r="AI54" i="14"/>
  <c r="AI41" i="14"/>
  <c r="AI48" i="14"/>
  <c r="D41" i="14"/>
  <c r="AI49" i="14"/>
  <c r="AI56" i="14"/>
  <c r="AI44" i="14"/>
  <c r="H36" i="14"/>
  <c r="AI39" i="14"/>
  <c r="D40" i="14"/>
  <c r="AI50" i="14"/>
  <c r="AI46" i="14"/>
  <c r="AI47" i="14"/>
  <c r="AI43" i="14"/>
  <c r="D51" i="14"/>
  <c r="AI51" i="14"/>
  <c r="E16" i="14"/>
  <c r="E28" i="14"/>
  <c r="F28" i="14"/>
  <c r="G28" i="14"/>
  <c r="H28" i="14"/>
  <c r="I28" i="14"/>
  <c r="J28" i="14"/>
  <c r="K28" i="14"/>
  <c r="L28" i="14"/>
  <c r="M28" i="14"/>
  <c r="O28" i="14"/>
  <c r="P28" i="14"/>
  <c r="Q28" i="14"/>
  <c r="R28" i="14"/>
  <c r="S28" i="14"/>
  <c r="T28" i="14"/>
  <c r="U28" i="14"/>
  <c r="V28" i="14"/>
  <c r="W28" i="14"/>
  <c r="Y28" i="14"/>
  <c r="Z28" i="14"/>
  <c r="AA28" i="14"/>
  <c r="AB28" i="14"/>
  <c r="AC28" i="14"/>
  <c r="AD28" i="14"/>
  <c r="AE28" i="14"/>
  <c r="AF28" i="14"/>
  <c r="AG28" i="14"/>
  <c r="E36" i="14"/>
  <c r="F36" i="14"/>
  <c r="G36" i="14"/>
  <c r="I36" i="14"/>
  <c r="J36" i="14"/>
  <c r="K36" i="14"/>
  <c r="L36" i="14"/>
  <c r="O36" i="14"/>
  <c r="P36" i="14"/>
  <c r="Q36" i="14"/>
  <c r="S36" i="14"/>
  <c r="T36" i="14"/>
  <c r="U36" i="14"/>
  <c r="V36" i="14"/>
  <c r="Y36" i="14"/>
  <c r="Z36" i="14"/>
  <c r="AA36" i="14"/>
  <c r="AB36" i="14"/>
  <c r="AC36" i="14"/>
  <c r="AD36" i="14"/>
  <c r="AE36" i="14"/>
  <c r="AF36" i="14"/>
  <c r="E52" i="14"/>
  <c r="F52" i="14"/>
  <c r="G52" i="14"/>
  <c r="H52" i="14"/>
  <c r="I52" i="14"/>
  <c r="J52" i="14"/>
  <c r="K52" i="14"/>
  <c r="L52" i="14"/>
  <c r="O52" i="14"/>
  <c r="P52" i="14"/>
  <c r="Q52" i="14"/>
  <c r="S52" i="14"/>
  <c r="T52" i="14"/>
  <c r="U52" i="14"/>
  <c r="V52" i="14"/>
  <c r="Y52" i="14"/>
  <c r="Z52" i="14"/>
  <c r="AA52" i="14"/>
  <c r="AB52" i="14"/>
  <c r="AC52" i="14"/>
  <c r="AD52" i="14"/>
  <c r="AE52" i="14"/>
  <c r="AF52" i="14"/>
  <c r="E67" i="14"/>
  <c r="F67" i="14"/>
  <c r="G67" i="14"/>
  <c r="H67" i="14"/>
  <c r="AF28" i="11" s="1"/>
  <c r="I67" i="14"/>
  <c r="J67" i="14"/>
  <c r="K67" i="14"/>
  <c r="L67" i="14"/>
  <c r="M67" i="14"/>
  <c r="O67" i="14"/>
  <c r="P67" i="14"/>
  <c r="Q67" i="14"/>
  <c r="R67" i="14"/>
  <c r="S67" i="14"/>
  <c r="T67" i="14"/>
  <c r="U67" i="14"/>
  <c r="V67" i="14"/>
  <c r="W67" i="14"/>
  <c r="Y67" i="14"/>
  <c r="Z67" i="14"/>
  <c r="AA67" i="14"/>
  <c r="AB67" i="14"/>
  <c r="AC67" i="14"/>
  <c r="AD67" i="14"/>
  <c r="AE67" i="14"/>
  <c r="AF67" i="14"/>
  <c r="AG67" i="14"/>
  <c r="E76" i="14"/>
  <c r="F76" i="14"/>
  <c r="G76" i="14"/>
  <c r="H76" i="14"/>
  <c r="AF31" i="11" s="1"/>
  <c r="I76" i="14"/>
  <c r="J76" i="14"/>
  <c r="K76" i="14"/>
  <c r="L76" i="14"/>
  <c r="M76" i="14"/>
  <c r="O76" i="14"/>
  <c r="P76" i="14"/>
  <c r="Q76" i="14"/>
  <c r="R76" i="14"/>
  <c r="S76" i="14"/>
  <c r="T76" i="14"/>
  <c r="U76" i="14"/>
  <c r="V76" i="14"/>
  <c r="W76" i="14"/>
  <c r="Y76" i="14"/>
  <c r="Z76" i="14"/>
  <c r="AA76" i="14"/>
  <c r="AB76" i="14"/>
  <c r="AC76" i="14"/>
  <c r="AD76" i="14"/>
  <c r="AE76" i="14"/>
  <c r="AF76" i="14"/>
  <c r="AG76" i="14"/>
  <c r="E89" i="14"/>
  <c r="F89" i="14"/>
  <c r="G89" i="14"/>
  <c r="H89" i="14"/>
  <c r="AF34" i="11" s="1"/>
  <c r="I89" i="14"/>
  <c r="J89" i="14"/>
  <c r="K89" i="14"/>
  <c r="L89" i="14"/>
  <c r="M89" i="14"/>
  <c r="O89" i="14"/>
  <c r="P89" i="14"/>
  <c r="Q89" i="14"/>
  <c r="R89" i="14"/>
  <c r="S89" i="14"/>
  <c r="T89" i="14"/>
  <c r="U89" i="14"/>
  <c r="V89" i="14"/>
  <c r="W89" i="14"/>
  <c r="Y89" i="14"/>
  <c r="Z89" i="14"/>
  <c r="AA89" i="14"/>
  <c r="AB89" i="14"/>
  <c r="AC89" i="14"/>
  <c r="AD89" i="14"/>
  <c r="AE89" i="14"/>
  <c r="AF89" i="14"/>
  <c r="AG89" i="14"/>
  <c r="C89" i="14"/>
  <c r="X18" i="14"/>
  <c r="X19" i="14"/>
  <c r="X20" i="14"/>
  <c r="X21" i="14"/>
  <c r="X22" i="14"/>
  <c r="X23" i="14"/>
  <c r="X24" i="14"/>
  <c r="X25" i="14"/>
  <c r="X26" i="14"/>
  <c r="X27" i="14"/>
  <c r="X29" i="14"/>
  <c r="X30" i="14"/>
  <c r="X31" i="14"/>
  <c r="X32" i="14"/>
  <c r="X33" i="14"/>
  <c r="X34" i="14"/>
  <c r="X35" i="14"/>
  <c r="X37" i="14"/>
  <c r="X38" i="14"/>
  <c r="X42" i="14"/>
  <c r="X43" i="14"/>
  <c r="X44" i="14"/>
  <c r="X45" i="14"/>
  <c r="X46" i="14"/>
  <c r="X47" i="14"/>
  <c r="X48" i="14"/>
  <c r="X49" i="14"/>
  <c r="X50" i="14"/>
  <c r="X53" i="14"/>
  <c r="X54" i="14"/>
  <c r="X55" i="14"/>
  <c r="X56" i="14"/>
  <c r="X57" i="14"/>
  <c r="X58" i="14"/>
  <c r="X59" i="14"/>
  <c r="X60" i="14"/>
  <c r="X61" i="14"/>
  <c r="X62" i="14"/>
  <c r="X63" i="14"/>
  <c r="X65" i="14"/>
  <c r="X66" i="14"/>
  <c r="X68" i="14"/>
  <c r="X69" i="14"/>
  <c r="X70" i="14"/>
  <c r="X71" i="14"/>
  <c r="X72" i="14"/>
  <c r="X73" i="14"/>
  <c r="X74" i="14"/>
  <c r="X75" i="14"/>
  <c r="X77" i="14"/>
  <c r="C77" i="14" s="1"/>
  <c r="X78" i="14"/>
  <c r="C78" i="14" s="1"/>
  <c r="X79" i="14"/>
  <c r="X80" i="14"/>
  <c r="C80" i="14" s="1"/>
  <c r="X81" i="14"/>
  <c r="C81" i="14" s="1"/>
  <c r="X82" i="14"/>
  <c r="C82" i="14" s="1"/>
  <c r="AI82" i="14" s="1"/>
  <c r="X83" i="14"/>
  <c r="X84" i="14"/>
  <c r="X85" i="14"/>
  <c r="X86" i="14"/>
  <c r="X87" i="14"/>
  <c r="X88" i="14"/>
  <c r="X90" i="14"/>
  <c r="X91" i="14"/>
  <c r="X92" i="14"/>
  <c r="X93" i="14"/>
  <c r="X94" i="14"/>
  <c r="X95" i="14"/>
  <c r="X96" i="14"/>
  <c r="X97" i="14"/>
  <c r="X98" i="14"/>
  <c r="X17" i="14"/>
  <c r="N18" i="14"/>
  <c r="N19" i="14"/>
  <c r="N20" i="14"/>
  <c r="N21" i="14"/>
  <c r="N22" i="14"/>
  <c r="N23" i="14"/>
  <c r="N24" i="14"/>
  <c r="N25" i="14"/>
  <c r="N26" i="14"/>
  <c r="N27" i="14"/>
  <c r="N29" i="14"/>
  <c r="N30" i="14"/>
  <c r="N31" i="14"/>
  <c r="N32" i="14"/>
  <c r="N33" i="14"/>
  <c r="N34" i="14"/>
  <c r="N35" i="14"/>
  <c r="N37" i="14"/>
  <c r="N38" i="14"/>
  <c r="N41" i="14"/>
  <c r="N42" i="14"/>
  <c r="N45" i="14"/>
  <c r="N46" i="14"/>
  <c r="N47" i="14"/>
  <c r="N48" i="14"/>
  <c r="N49" i="14"/>
  <c r="N53" i="14"/>
  <c r="N55" i="14"/>
  <c r="N56" i="14"/>
  <c r="N57" i="14"/>
  <c r="N58" i="14"/>
  <c r="N59" i="14"/>
  <c r="N60" i="14"/>
  <c r="N61" i="14"/>
  <c r="N62" i="14"/>
  <c r="N63" i="14"/>
  <c r="N64" i="14"/>
  <c r="N65" i="14"/>
  <c r="N66" i="14"/>
  <c r="N68" i="14"/>
  <c r="N69" i="14"/>
  <c r="N70" i="14"/>
  <c r="N71" i="14"/>
  <c r="N72" i="14"/>
  <c r="N73" i="14"/>
  <c r="N74" i="14"/>
  <c r="N75" i="14"/>
  <c r="N77" i="14"/>
  <c r="N78" i="14"/>
  <c r="N79" i="14"/>
  <c r="N80" i="14"/>
  <c r="N81" i="14"/>
  <c r="N82" i="14"/>
  <c r="N83" i="14"/>
  <c r="N84" i="14"/>
  <c r="N85" i="14"/>
  <c r="N86" i="14"/>
  <c r="N87" i="14"/>
  <c r="N88" i="14"/>
  <c r="N90" i="14"/>
  <c r="N91" i="14"/>
  <c r="N92" i="14"/>
  <c r="N93" i="14"/>
  <c r="N94" i="14"/>
  <c r="N95" i="14"/>
  <c r="N96" i="14"/>
  <c r="N97" i="14"/>
  <c r="N98" i="14"/>
  <c r="N17" i="14"/>
  <c r="D18" i="14"/>
  <c r="D19" i="14"/>
  <c r="D20" i="14"/>
  <c r="D21" i="14"/>
  <c r="D22" i="14"/>
  <c r="D23" i="14"/>
  <c r="D24" i="14"/>
  <c r="D25" i="14"/>
  <c r="D26" i="14"/>
  <c r="D27" i="14"/>
  <c r="D29" i="14"/>
  <c r="D30" i="14"/>
  <c r="D31" i="14"/>
  <c r="D32" i="14"/>
  <c r="D33" i="14"/>
  <c r="D34" i="14"/>
  <c r="D35" i="14"/>
  <c r="D37" i="14"/>
  <c r="D38" i="14"/>
  <c r="D39" i="14"/>
  <c r="D42" i="14"/>
  <c r="D43" i="14"/>
  <c r="D44" i="14"/>
  <c r="D45" i="14"/>
  <c r="D46" i="14"/>
  <c r="D47" i="14"/>
  <c r="D48" i="14"/>
  <c r="D49" i="14"/>
  <c r="D53" i="14"/>
  <c r="D54" i="14"/>
  <c r="D55" i="14"/>
  <c r="D56" i="14"/>
  <c r="D57" i="14"/>
  <c r="D58" i="14"/>
  <c r="D59" i="14"/>
  <c r="D60" i="14"/>
  <c r="D61" i="14"/>
  <c r="D62" i="14"/>
  <c r="D63" i="14"/>
  <c r="D64" i="14"/>
  <c r="D65" i="14"/>
  <c r="D66" i="14"/>
  <c r="D68" i="14"/>
  <c r="D69" i="14"/>
  <c r="D70" i="14"/>
  <c r="D71" i="14"/>
  <c r="D72" i="14"/>
  <c r="D73" i="14"/>
  <c r="D74" i="14"/>
  <c r="D75" i="14"/>
  <c r="D77" i="14"/>
  <c r="D78" i="14"/>
  <c r="D79" i="14"/>
  <c r="D80" i="14"/>
  <c r="D81" i="14"/>
  <c r="D82" i="14"/>
  <c r="D83" i="14"/>
  <c r="D84" i="14"/>
  <c r="D85" i="14"/>
  <c r="D86" i="14"/>
  <c r="D87" i="14"/>
  <c r="D88" i="14"/>
  <c r="D90" i="14"/>
  <c r="D91" i="14"/>
  <c r="D92" i="14"/>
  <c r="D93" i="14"/>
  <c r="D94" i="14"/>
  <c r="D95" i="14"/>
  <c r="D96" i="14"/>
  <c r="D97" i="14"/>
  <c r="D98" i="14"/>
  <c r="D17" i="14"/>
  <c r="X14" i="14"/>
  <c r="X15" i="14"/>
  <c r="X13" i="14"/>
  <c r="N14" i="14"/>
  <c r="N15" i="14"/>
  <c r="D14" i="14"/>
  <c r="D15" i="14"/>
  <c r="D13" i="14"/>
  <c r="C67" i="14"/>
  <c r="C52" i="14"/>
  <c r="C36" i="14"/>
  <c r="C28" i="14"/>
  <c r="F16" i="14"/>
  <c r="G16" i="14"/>
  <c r="H16" i="14"/>
  <c r="I16" i="14"/>
  <c r="J16" i="14"/>
  <c r="K16" i="14"/>
  <c r="L16" i="14"/>
  <c r="M16" i="14"/>
  <c r="O16" i="14"/>
  <c r="P16" i="14"/>
  <c r="Q16" i="14"/>
  <c r="R16" i="14"/>
  <c r="S16" i="14"/>
  <c r="T16" i="14"/>
  <c r="U16" i="14"/>
  <c r="V16" i="14"/>
  <c r="W16" i="14"/>
  <c r="Y16" i="14"/>
  <c r="Z16" i="14"/>
  <c r="AA16" i="14"/>
  <c r="AB16" i="14"/>
  <c r="AC16" i="14"/>
  <c r="AD16" i="14"/>
  <c r="AE16" i="14"/>
  <c r="AF16" i="14"/>
  <c r="AG16" i="14"/>
  <c r="C16" i="14"/>
  <c r="E12" i="14"/>
  <c r="F12" i="14"/>
  <c r="G12" i="14"/>
  <c r="H12" i="14"/>
  <c r="I12" i="14"/>
  <c r="J12" i="14"/>
  <c r="K12" i="14"/>
  <c r="L12" i="14"/>
  <c r="M12" i="14"/>
  <c r="O12" i="14"/>
  <c r="P12" i="14"/>
  <c r="Q12" i="14"/>
  <c r="R12" i="14"/>
  <c r="S12" i="14"/>
  <c r="T12" i="14"/>
  <c r="U12" i="14"/>
  <c r="V12" i="14"/>
  <c r="W12" i="14"/>
  <c r="Y12" i="14"/>
  <c r="Z12" i="14"/>
  <c r="AA12" i="14"/>
  <c r="AB12" i="14"/>
  <c r="AC12" i="14"/>
  <c r="AD12" i="14"/>
  <c r="AE12" i="14"/>
  <c r="AF12" i="14"/>
  <c r="AG12" i="14"/>
  <c r="C12" i="14"/>
  <c r="N42" i="20"/>
  <c r="N43" i="20"/>
  <c r="N44" i="20"/>
  <c r="N45" i="20"/>
  <c r="N16" i="11" l="1"/>
  <c r="AF16" i="11"/>
  <c r="M52" i="14"/>
  <c r="N50" i="14"/>
  <c r="N39" i="14"/>
  <c r="X39" i="14"/>
  <c r="N44" i="14"/>
  <c r="X64" i="14"/>
  <c r="N43" i="14"/>
  <c r="R52" i="14"/>
  <c r="I13" i="11"/>
  <c r="D12" i="14"/>
  <c r="AG52" i="14"/>
  <c r="X41" i="14"/>
  <c r="D50" i="14"/>
  <c r="N54" i="14"/>
  <c r="W52" i="14"/>
  <c r="AG36" i="14"/>
  <c r="W36" i="14"/>
  <c r="N40" i="14"/>
  <c r="M36" i="14"/>
  <c r="M11" i="14" s="1"/>
  <c r="X51" i="14"/>
  <c r="X40" i="14"/>
  <c r="R36" i="14"/>
  <c r="N51" i="14"/>
  <c r="X16" i="14"/>
  <c r="G11" i="14"/>
  <c r="O11" i="14"/>
  <c r="AI80" i="14"/>
  <c r="AH80" i="14"/>
  <c r="AI78" i="14"/>
  <c r="AH78" i="14"/>
  <c r="AI77" i="14"/>
  <c r="AH77" i="14"/>
  <c r="AE11" i="14"/>
  <c r="L11" i="14"/>
  <c r="AH82" i="14"/>
  <c r="C76" i="14"/>
  <c r="AI81" i="14"/>
  <c r="AH81" i="14"/>
  <c r="D16" i="14"/>
  <c r="X89" i="14"/>
  <c r="N89" i="14"/>
  <c r="N28" i="14"/>
  <c r="D89" i="14"/>
  <c r="D28" i="14"/>
  <c r="D36" i="14"/>
  <c r="N52" i="14"/>
  <c r="N76" i="14"/>
  <c r="N67" i="14"/>
  <c r="D76" i="14"/>
  <c r="D67" i="14"/>
  <c r="X76" i="14"/>
  <c r="X67" i="14"/>
  <c r="AF11" i="14"/>
  <c r="D52" i="14"/>
  <c r="N16" i="14"/>
  <c r="S11" i="14"/>
  <c r="K11" i="14"/>
  <c r="N12" i="14"/>
  <c r="X12" i="14"/>
  <c r="P11" i="14"/>
  <c r="H11" i="14"/>
  <c r="X52" i="14"/>
  <c r="AA11" i="14"/>
  <c r="AB11" i="14"/>
  <c r="X28" i="14"/>
  <c r="AC11" i="14"/>
  <c r="U11" i="14"/>
  <c r="Z11" i="14"/>
  <c r="F11" i="14"/>
  <c r="AG11" i="14"/>
  <c r="Y11" i="14"/>
  <c r="E11" i="14"/>
  <c r="J11" i="14"/>
  <c r="I11" i="14"/>
  <c r="AD11" i="14"/>
  <c r="V11" i="14"/>
  <c r="T11" i="14"/>
  <c r="Q11" i="14"/>
  <c r="J33" i="11"/>
  <c r="K33" i="11"/>
  <c r="L33" i="11"/>
  <c r="M33" i="11"/>
  <c r="R33" i="11"/>
  <c r="AF33" i="11" s="1"/>
  <c r="S33" i="11"/>
  <c r="T33" i="11"/>
  <c r="U33" i="11"/>
  <c r="V33" i="11"/>
  <c r="AA33" i="11"/>
  <c r="J30" i="11"/>
  <c r="K30" i="11"/>
  <c r="L30" i="11"/>
  <c r="M30" i="11"/>
  <c r="R30" i="11"/>
  <c r="AF30" i="11" s="1"/>
  <c r="S30" i="11"/>
  <c r="T30" i="11"/>
  <c r="U30" i="11"/>
  <c r="V30" i="11"/>
  <c r="W30" i="11"/>
  <c r="X30" i="11"/>
  <c r="Y30" i="11"/>
  <c r="Z30" i="11"/>
  <c r="AA30" i="11"/>
  <c r="J27" i="11"/>
  <c r="K27" i="11"/>
  <c r="L27" i="11"/>
  <c r="M27" i="11"/>
  <c r="R27" i="11"/>
  <c r="AF27" i="11" s="1"/>
  <c r="S27" i="11"/>
  <c r="T27" i="11"/>
  <c r="U27" i="11"/>
  <c r="V27" i="11"/>
  <c r="W27" i="11"/>
  <c r="X27" i="11"/>
  <c r="Y27" i="11"/>
  <c r="Z27" i="11"/>
  <c r="AA27" i="11"/>
  <c r="J24" i="11"/>
  <c r="K24" i="11"/>
  <c r="L24" i="11"/>
  <c r="M24" i="11"/>
  <c r="S24" i="11"/>
  <c r="T24" i="11"/>
  <c r="U24" i="11"/>
  <c r="V24" i="11"/>
  <c r="W24" i="11"/>
  <c r="X24" i="11"/>
  <c r="Y24" i="11"/>
  <c r="Z24" i="11"/>
  <c r="AA24" i="11"/>
  <c r="J21" i="11"/>
  <c r="K21" i="11"/>
  <c r="L21" i="11"/>
  <c r="M21" i="11"/>
  <c r="S21" i="11"/>
  <c r="T21" i="11"/>
  <c r="U21" i="11"/>
  <c r="V21" i="11"/>
  <c r="W21" i="11"/>
  <c r="X21" i="11"/>
  <c r="Y21" i="11"/>
  <c r="Z21" i="11"/>
  <c r="AA21" i="11"/>
  <c r="J18" i="11"/>
  <c r="K18" i="11"/>
  <c r="L18" i="11"/>
  <c r="M18" i="11"/>
  <c r="S18" i="11"/>
  <c r="T18" i="11"/>
  <c r="U18" i="11"/>
  <c r="V18" i="11"/>
  <c r="W18" i="11"/>
  <c r="X18" i="11"/>
  <c r="Y18" i="11"/>
  <c r="Z18" i="11"/>
  <c r="AA18" i="11"/>
  <c r="J15" i="11"/>
  <c r="K15" i="11"/>
  <c r="L15" i="11"/>
  <c r="M15" i="11"/>
  <c r="S15" i="11"/>
  <c r="T15" i="11"/>
  <c r="U15" i="11"/>
  <c r="V15" i="11"/>
  <c r="W15" i="11"/>
  <c r="X15" i="11"/>
  <c r="Y15" i="11"/>
  <c r="Z15" i="11"/>
  <c r="AA15" i="11"/>
  <c r="J12" i="11"/>
  <c r="K12" i="11"/>
  <c r="L12" i="11"/>
  <c r="M12" i="11"/>
  <c r="S12" i="11"/>
  <c r="T12" i="11"/>
  <c r="U12" i="11"/>
  <c r="V12" i="11"/>
  <c r="W12" i="11"/>
  <c r="X12" i="11"/>
  <c r="Y12" i="11"/>
  <c r="Z12" i="11"/>
  <c r="AA12" i="11"/>
  <c r="AE34" i="11"/>
  <c r="O33" i="11"/>
  <c r="AC33" i="11" s="1"/>
  <c r="AD32" i="11"/>
  <c r="AE32" i="11"/>
  <c r="AD31" i="11"/>
  <c r="AD29" i="11"/>
  <c r="AE29" i="11"/>
  <c r="AE28" i="11"/>
  <c r="AC28" i="11"/>
  <c r="AD26" i="11"/>
  <c r="AE26" i="11"/>
  <c r="AD25" i="11"/>
  <c r="AD23" i="11"/>
  <c r="AC23" i="11"/>
  <c r="AD22" i="11"/>
  <c r="AE22" i="11"/>
  <c r="AF22" i="11"/>
  <c r="AD20" i="11"/>
  <c r="N20" i="11"/>
  <c r="AB20" i="11" s="1"/>
  <c r="AE19" i="11"/>
  <c r="AF19" i="11"/>
  <c r="AC19" i="11"/>
  <c r="Q15" i="11"/>
  <c r="R15" i="11"/>
  <c r="AF15" i="11" s="1"/>
  <c r="AD14" i="11"/>
  <c r="C23" i="11"/>
  <c r="C14" i="11"/>
  <c r="C13" i="11"/>
  <c r="I35" i="11"/>
  <c r="C35" i="11" s="1"/>
  <c r="I34" i="11"/>
  <c r="I32" i="11"/>
  <c r="C32" i="11" s="1"/>
  <c r="I31" i="11"/>
  <c r="C31" i="11" s="1"/>
  <c r="I29" i="11"/>
  <c r="C29" i="11" s="1"/>
  <c r="I28" i="11"/>
  <c r="I26" i="11"/>
  <c r="C26" i="11" s="1"/>
  <c r="I25" i="11"/>
  <c r="C22" i="11"/>
  <c r="I20" i="11"/>
  <c r="C20" i="11" s="1"/>
  <c r="I19" i="11"/>
  <c r="C19" i="11" s="1"/>
  <c r="I17" i="11"/>
  <c r="C17" i="11" s="1"/>
  <c r="I16" i="11"/>
  <c r="I14" i="11"/>
  <c r="D10" i="11"/>
  <c r="D8" i="11" s="1"/>
  <c r="E10" i="11"/>
  <c r="F10" i="11"/>
  <c r="G10" i="11"/>
  <c r="H10" i="11"/>
  <c r="H8" i="11" s="1"/>
  <c r="J10" i="11"/>
  <c r="K10" i="11"/>
  <c r="L10" i="11"/>
  <c r="M10" i="11"/>
  <c r="S10" i="11"/>
  <c r="T10" i="11"/>
  <c r="U10" i="11"/>
  <c r="V10" i="11"/>
  <c r="X10" i="11"/>
  <c r="AA10" i="11"/>
  <c r="D9" i="11"/>
  <c r="E9" i="11"/>
  <c r="F9" i="11"/>
  <c r="G9" i="11"/>
  <c r="H9" i="11"/>
  <c r="J9" i="11"/>
  <c r="K9" i="11"/>
  <c r="L9" i="11"/>
  <c r="M9" i="11"/>
  <c r="S9" i="11"/>
  <c r="T9" i="11"/>
  <c r="U9" i="11"/>
  <c r="V9" i="11"/>
  <c r="W9" i="11"/>
  <c r="X9" i="11"/>
  <c r="Y9" i="11"/>
  <c r="Z9" i="11"/>
  <c r="AA9" i="11"/>
  <c r="G8" i="11"/>
  <c r="S8" i="11"/>
  <c r="T8" i="11"/>
  <c r="D41" i="20"/>
  <c r="D42" i="20"/>
  <c r="D43" i="20"/>
  <c r="D44" i="20"/>
  <c r="D45" i="20"/>
  <c r="D46" i="20"/>
  <c r="D39" i="20"/>
  <c r="D37" i="20"/>
  <c r="D32" i="20"/>
  <c r="D33" i="20"/>
  <c r="D27" i="20"/>
  <c r="P39" i="20"/>
  <c r="D30" i="20"/>
  <c r="X36" i="14" l="1"/>
  <c r="Z35" i="11"/>
  <c r="Z33" i="11" s="1"/>
  <c r="AE35" i="11"/>
  <c r="Y35" i="11"/>
  <c r="AD35" i="11"/>
  <c r="N35" i="11"/>
  <c r="AB35" i="11" s="1"/>
  <c r="AC32" i="11"/>
  <c r="N32" i="11"/>
  <c r="AB32" i="11" s="1"/>
  <c r="O30" i="11"/>
  <c r="AC30" i="11" s="1"/>
  <c r="Q30" i="11"/>
  <c r="AE31" i="11"/>
  <c r="N28" i="11"/>
  <c r="AD28" i="11"/>
  <c r="AC29" i="11"/>
  <c r="N29" i="11"/>
  <c r="AB29" i="11" s="1"/>
  <c r="R24" i="11"/>
  <c r="AF24" i="11" s="1"/>
  <c r="AF25" i="11"/>
  <c r="Q24" i="11"/>
  <c r="AE24" i="11" s="1"/>
  <c r="AE25" i="11"/>
  <c r="AC26" i="11"/>
  <c r="N26" i="11"/>
  <c r="AB26" i="11" s="1"/>
  <c r="O24" i="11"/>
  <c r="AC24" i="11" s="1"/>
  <c r="AC25" i="11"/>
  <c r="O21" i="11"/>
  <c r="AC21" i="11" s="1"/>
  <c r="AC22" i="11"/>
  <c r="N23" i="11"/>
  <c r="AB23" i="11" s="1"/>
  <c r="AF23" i="11"/>
  <c r="O15" i="11"/>
  <c r="AC15" i="11" s="1"/>
  <c r="AC17" i="11"/>
  <c r="N17" i="11"/>
  <c r="P15" i="11"/>
  <c r="AD15" i="11" s="1"/>
  <c r="AD17" i="11"/>
  <c r="AB16" i="11"/>
  <c r="AC14" i="11"/>
  <c r="N14" i="11"/>
  <c r="R12" i="11"/>
  <c r="AF12" i="11" s="1"/>
  <c r="AF13" i="11"/>
  <c r="Q12" i="11"/>
  <c r="I12" i="11"/>
  <c r="C12" i="11" s="1"/>
  <c r="I24" i="11"/>
  <c r="C24" i="11" s="1"/>
  <c r="R21" i="11"/>
  <c r="AF21" i="11" s="1"/>
  <c r="D35" i="20"/>
  <c r="X32" i="20"/>
  <c r="O12" i="11"/>
  <c r="N13" i="11"/>
  <c r="AB13" i="11" s="1"/>
  <c r="N34" i="11"/>
  <c r="P30" i="11"/>
  <c r="AD30" i="11" s="1"/>
  <c r="N31" i="11"/>
  <c r="N19" i="11"/>
  <c r="N22" i="11"/>
  <c r="N25" i="11"/>
  <c r="N39" i="20"/>
  <c r="D40" i="20"/>
  <c r="Y42" i="20"/>
  <c r="X42" i="20"/>
  <c r="N36" i="14"/>
  <c r="N11" i="14" s="1"/>
  <c r="Z10" i="11"/>
  <c r="W11" i="14"/>
  <c r="Y10" i="11"/>
  <c r="R11" i="14"/>
  <c r="P27" i="11"/>
  <c r="AD27" i="11" s="1"/>
  <c r="Q21" i="11"/>
  <c r="AE21" i="11" s="1"/>
  <c r="Q18" i="11"/>
  <c r="AE18" i="11" s="1"/>
  <c r="P24" i="11"/>
  <c r="AD24" i="11" s="1"/>
  <c r="D14" i="20"/>
  <c r="C14" i="20"/>
  <c r="P9" i="11"/>
  <c r="AD9" i="11" s="1"/>
  <c r="O27" i="11"/>
  <c r="AC27" i="11" s="1"/>
  <c r="AA8" i="11"/>
  <c r="I21" i="11"/>
  <c r="C21" i="11" s="1"/>
  <c r="I33" i="11"/>
  <c r="C33" i="11" s="1"/>
  <c r="P33" i="11"/>
  <c r="AD33" i="11" s="1"/>
  <c r="P21" i="11"/>
  <c r="AD21" i="11" s="1"/>
  <c r="P12" i="11"/>
  <c r="AD12" i="11" s="1"/>
  <c r="X8" i="11"/>
  <c r="I30" i="11"/>
  <c r="C30" i="11" s="1"/>
  <c r="Q27" i="11"/>
  <c r="AE27" i="11" s="1"/>
  <c r="O18" i="11"/>
  <c r="AC18" i="11" s="1"/>
  <c r="I15" i="11"/>
  <c r="C15" i="11" s="1"/>
  <c r="I27" i="11"/>
  <c r="C27" i="11" s="1"/>
  <c r="R18" i="11"/>
  <c r="AF18" i="11" s="1"/>
  <c r="Y8" i="11"/>
  <c r="U8" i="11"/>
  <c r="P18" i="11"/>
  <c r="AD18" i="11" s="1"/>
  <c r="M8" i="11"/>
  <c r="AC12" i="11"/>
  <c r="Q33" i="11"/>
  <c r="AE33" i="11" s="1"/>
  <c r="C34" i="11"/>
  <c r="AE30" i="11"/>
  <c r="C28" i="11"/>
  <c r="C25" i="11"/>
  <c r="I18" i="11"/>
  <c r="C18" i="11" s="1"/>
  <c r="C16" i="11"/>
  <c r="L8" i="11"/>
  <c r="K8" i="11"/>
  <c r="C11" i="14"/>
  <c r="D11" i="14"/>
  <c r="X11" i="14"/>
  <c r="R9" i="11"/>
  <c r="AF9" i="11" s="1"/>
  <c r="Q9" i="11"/>
  <c r="AE9" i="11" s="1"/>
  <c r="Q10" i="11"/>
  <c r="AE10" i="11" s="1"/>
  <c r="O9" i="11"/>
  <c r="AC9" i="11" s="1"/>
  <c r="R10" i="11"/>
  <c r="AF10" i="11" s="1"/>
  <c r="P10" i="11"/>
  <c r="O10" i="11"/>
  <c r="AC10" i="11" s="1"/>
  <c r="C10" i="11"/>
  <c r="E8" i="11"/>
  <c r="I10" i="11"/>
  <c r="I9" i="11"/>
  <c r="Z8" i="11"/>
  <c r="J8" i="11"/>
  <c r="V8" i="11"/>
  <c r="F8" i="11"/>
  <c r="E38" i="20"/>
  <c r="P18" i="20"/>
  <c r="F17" i="20"/>
  <c r="G17" i="20"/>
  <c r="H17" i="20"/>
  <c r="I17" i="20"/>
  <c r="J17" i="20"/>
  <c r="K17" i="20"/>
  <c r="L17" i="20"/>
  <c r="M17" i="20"/>
  <c r="O17" i="20"/>
  <c r="Q17" i="20"/>
  <c r="R17" i="20"/>
  <c r="E17" i="20"/>
  <c r="P15" i="20"/>
  <c r="P14" i="20" s="1"/>
  <c r="O16" i="20"/>
  <c r="P13" i="20"/>
  <c r="O12" i="20"/>
  <c r="R11" i="20"/>
  <c r="Q11" i="20"/>
  <c r="L11" i="20"/>
  <c r="K11" i="20"/>
  <c r="J11" i="20"/>
  <c r="I11" i="20"/>
  <c r="H11" i="20"/>
  <c r="G11" i="20"/>
  <c r="F11" i="20"/>
  <c r="E11" i="20"/>
  <c r="Q14" i="20"/>
  <c r="R14" i="20"/>
  <c r="M14" i="20"/>
  <c r="L14" i="20"/>
  <c r="K14" i="20"/>
  <c r="J14" i="20"/>
  <c r="I14" i="20"/>
  <c r="H14" i="20"/>
  <c r="G14" i="20"/>
  <c r="F14" i="20"/>
  <c r="E14" i="20"/>
  <c r="P21" i="20"/>
  <c r="O22" i="20"/>
  <c r="O20" i="20"/>
  <c r="F19" i="20"/>
  <c r="G19" i="20"/>
  <c r="H19" i="20"/>
  <c r="I19" i="20"/>
  <c r="J19" i="20"/>
  <c r="K19" i="20"/>
  <c r="L19" i="20"/>
  <c r="M19" i="20"/>
  <c r="Q19" i="20"/>
  <c r="R19" i="20"/>
  <c r="E19" i="20"/>
  <c r="P27" i="20"/>
  <c r="P28" i="20"/>
  <c r="P26" i="20"/>
  <c r="O24" i="20"/>
  <c r="F23" i="20"/>
  <c r="I23" i="20"/>
  <c r="J23" i="20"/>
  <c r="K23" i="20"/>
  <c r="L23" i="20"/>
  <c r="M23" i="20"/>
  <c r="R23" i="20"/>
  <c r="E23" i="20"/>
  <c r="O33" i="20"/>
  <c r="Q32" i="20"/>
  <c r="Q30" i="20"/>
  <c r="G29" i="20"/>
  <c r="H29" i="20"/>
  <c r="I29" i="20"/>
  <c r="J29" i="20"/>
  <c r="K29" i="20"/>
  <c r="L29" i="20"/>
  <c r="R29" i="20"/>
  <c r="S29" i="20"/>
  <c r="T29" i="20"/>
  <c r="U29" i="20"/>
  <c r="V29" i="20"/>
  <c r="W29" i="20"/>
  <c r="E29" i="20"/>
  <c r="Q35" i="20"/>
  <c r="O37" i="20"/>
  <c r="H34" i="20"/>
  <c r="I34" i="20"/>
  <c r="J34" i="20"/>
  <c r="K34" i="20"/>
  <c r="L34" i="20"/>
  <c r="M34" i="20"/>
  <c r="R34" i="20"/>
  <c r="S34" i="20"/>
  <c r="T34" i="20"/>
  <c r="U34" i="20"/>
  <c r="V34" i="20"/>
  <c r="W34" i="20"/>
  <c r="E34" i="20"/>
  <c r="P41" i="20"/>
  <c r="O46" i="20"/>
  <c r="F38" i="20"/>
  <c r="H38" i="20"/>
  <c r="I38" i="20"/>
  <c r="J38" i="20"/>
  <c r="K38" i="20"/>
  <c r="L38" i="20"/>
  <c r="M38" i="20"/>
  <c r="R38" i="20"/>
  <c r="S38" i="20"/>
  <c r="T38" i="20"/>
  <c r="U38" i="20"/>
  <c r="V38" i="20"/>
  <c r="W38" i="20"/>
  <c r="N33" i="11" l="1"/>
  <c r="AB33" i="11" s="1"/>
  <c r="AB34" i="11"/>
  <c r="Y33" i="11"/>
  <c r="W35" i="11"/>
  <c r="N30" i="11"/>
  <c r="AB30" i="11" s="1"/>
  <c r="AB31" i="11"/>
  <c r="N27" i="11"/>
  <c r="AB27" i="11" s="1"/>
  <c r="AB28" i="11"/>
  <c r="N24" i="11"/>
  <c r="AB24" i="11" s="1"/>
  <c r="AB25" i="11"/>
  <c r="N21" i="11"/>
  <c r="AB21" i="11" s="1"/>
  <c r="AB22" i="11"/>
  <c r="N18" i="11"/>
  <c r="AB18" i="11" s="1"/>
  <c r="AB19" i="11"/>
  <c r="AB17" i="11"/>
  <c r="N15" i="11"/>
  <c r="AB15" i="11" s="1"/>
  <c r="AB14" i="11"/>
  <c r="N10" i="11"/>
  <c r="AB10" i="11" s="1"/>
  <c r="X40" i="20"/>
  <c r="R10" i="20"/>
  <c r="N9" i="11"/>
  <c r="N12" i="11"/>
  <c r="AB12" i="11" s="1"/>
  <c r="I8" i="11"/>
  <c r="N26" i="20"/>
  <c r="Y26" i="20"/>
  <c r="X26" i="20"/>
  <c r="Y21" i="20"/>
  <c r="X21" i="20"/>
  <c r="N28" i="20"/>
  <c r="Y28" i="20"/>
  <c r="X28" i="20"/>
  <c r="I10" i="20"/>
  <c r="X16" i="20"/>
  <c r="Y16" i="20"/>
  <c r="X24" i="20"/>
  <c r="Y24" i="20"/>
  <c r="N22" i="20"/>
  <c r="X22" i="20"/>
  <c r="Y22" i="20"/>
  <c r="X12" i="20"/>
  <c r="Y12" i="20"/>
  <c r="Y18" i="20"/>
  <c r="X18" i="20"/>
  <c r="X39" i="20"/>
  <c r="Y13" i="20"/>
  <c r="X13" i="20"/>
  <c r="D38" i="20"/>
  <c r="N27" i="20"/>
  <c r="Y27" i="20"/>
  <c r="X27" i="20"/>
  <c r="N15" i="20"/>
  <c r="X15" i="20"/>
  <c r="Y15" i="20"/>
  <c r="X46" i="20"/>
  <c r="Y46" i="20"/>
  <c r="N41" i="20"/>
  <c r="Y41" i="20"/>
  <c r="X41" i="20"/>
  <c r="X33" i="20"/>
  <c r="Y33" i="20"/>
  <c r="X37" i="20"/>
  <c r="Y37" i="20"/>
  <c r="N32" i="20"/>
  <c r="Y32" i="20"/>
  <c r="N20" i="20"/>
  <c r="Y20" i="20"/>
  <c r="X20" i="20"/>
  <c r="J10" i="20"/>
  <c r="Y39" i="20"/>
  <c r="P8" i="11"/>
  <c r="AD8" i="11" s="1"/>
  <c r="AD10" i="11"/>
  <c r="Q8" i="11"/>
  <c r="AE8" i="11" s="1"/>
  <c r="C9" i="11"/>
  <c r="C8" i="11" s="1"/>
  <c r="O11" i="20"/>
  <c r="N12" i="20"/>
  <c r="P11" i="20"/>
  <c r="N13" i="20"/>
  <c r="O29" i="20"/>
  <c r="N33" i="20"/>
  <c r="O14" i="20"/>
  <c r="N16" i="20"/>
  <c r="P17" i="20"/>
  <c r="Y17" i="20" s="1"/>
  <c r="N18" i="20"/>
  <c r="O23" i="20"/>
  <c r="N24" i="20"/>
  <c r="L10" i="20"/>
  <c r="O38" i="20"/>
  <c r="N46" i="20"/>
  <c r="O34" i="20"/>
  <c r="N37" i="20"/>
  <c r="K10" i="20"/>
  <c r="P19" i="20"/>
  <c r="N21" i="20"/>
  <c r="R8" i="11"/>
  <c r="AF8" i="11" s="1"/>
  <c r="O8" i="11"/>
  <c r="AC8" i="11" s="1"/>
  <c r="E10" i="20"/>
  <c r="O19" i="20"/>
  <c r="Q29" i="20"/>
  <c r="P23" i="20"/>
  <c r="P38" i="20"/>
  <c r="W33" i="11" l="1"/>
  <c r="W10" i="11"/>
  <c r="W8" i="11" s="1"/>
  <c r="X38" i="20"/>
  <c r="X17" i="20"/>
  <c r="N11" i="20"/>
  <c r="N14" i="20"/>
  <c r="AB9" i="11"/>
  <c r="N8" i="11"/>
  <c r="Y19" i="20"/>
  <c r="X19" i="20"/>
  <c r="O10" i="20"/>
  <c r="X14" i="20"/>
  <c r="Y14" i="20"/>
  <c r="D36" i="20"/>
  <c r="D17" i="20"/>
  <c r="N17" i="20"/>
  <c r="D19" i="20"/>
  <c r="N19" i="20"/>
  <c r="P35" i="20"/>
  <c r="F34" i="20"/>
  <c r="G34" i="20"/>
  <c r="Q36" i="20"/>
  <c r="G38" i="20"/>
  <c r="Q40" i="20"/>
  <c r="Y40" i="20" s="1"/>
  <c r="C34" i="20" l="1"/>
  <c r="D34" i="20"/>
  <c r="H23" i="20"/>
  <c r="H10" i="20" s="1"/>
  <c r="Y35" i="20"/>
  <c r="X35" i="20"/>
  <c r="Q34" i="20"/>
  <c r="N36" i="20"/>
  <c r="P34" i="20"/>
  <c r="N35" i="20"/>
  <c r="Q38" i="20"/>
  <c r="Y38" i="20" s="1"/>
  <c r="N40" i="20"/>
  <c r="N38" i="20" s="1"/>
  <c r="P31" i="20"/>
  <c r="D31" i="20"/>
  <c r="C29" i="20" s="1"/>
  <c r="G23" i="20"/>
  <c r="G10" i="20" s="1"/>
  <c r="Q25" i="20"/>
  <c r="F29" i="20"/>
  <c r="F10" i="20" s="1"/>
  <c r="P30" i="20"/>
  <c r="Y36" i="20" l="1"/>
  <c r="X36" i="20"/>
  <c r="N34" i="20"/>
  <c r="N31" i="20"/>
  <c r="X31" i="20"/>
  <c r="Y31" i="20"/>
  <c r="D25" i="20"/>
  <c r="X30" i="20"/>
  <c r="Y30" i="20"/>
  <c r="X34" i="20"/>
  <c r="Y34" i="20"/>
  <c r="P29" i="20"/>
  <c r="N30" i="20"/>
  <c r="Q23" i="20"/>
  <c r="N25" i="20"/>
  <c r="N23" i="20" s="1"/>
  <c r="E12" i="29"/>
  <c r="F12" i="29"/>
  <c r="F10" i="30"/>
  <c r="F11" i="30"/>
  <c r="F12" i="30"/>
  <c r="F13" i="30"/>
  <c r="F14" i="30"/>
  <c r="F15" i="30"/>
  <c r="F16" i="30"/>
  <c r="F17" i="30"/>
  <c r="F75" i="30" s="1"/>
  <c r="F18" i="30"/>
  <c r="F19" i="30"/>
  <c r="F20" i="30"/>
  <c r="F21" i="30"/>
  <c r="F22" i="30"/>
  <c r="F23" i="30"/>
  <c r="F24" i="30"/>
  <c r="F25" i="30"/>
  <c r="F26" i="30"/>
  <c r="F27" i="30"/>
  <c r="F28" i="30"/>
  <c r="F29" i="30"/>
  <c r="F30" i="30"/>
  <c r="F31" i="30"/>
  <c r="F32" i="30"/>
  <c r="F33" i="30"/>
  <c r="F34" i="30"/>
  <c r="F35" i="30"/>
  <c r="F36" i="30"/>
  <c r="F37" i="30"/>
  <c r="F38" i="30"/>
  <c r="F39" i="30"/>
  <c r="F40" i="30"/>
  <c r="F41" i="30"/>
  <c r="F42" i="30"/>
  <c r="F43" i="30"/>
  <c r="F44" i="30"/>
  <c r="F45" i="30"/>
  <c r="F46" i="30"/>
  <c r="F47" i="30"/>
  <c r="F48" i="30"/>
  <c r="F49" i="30"/>
  <c r="F50" i="30"/>
  <c r="F51" i="30"/>
  <c r="F52" i="30"/>
  <c r="F53" i="30"/>
  <c r="F54" i="30"/>
  <c r="F55" i="30"/>
  <c r="F56" i="30"/>
  <c r="F57" i="30"/>
  <c r="F58" i="30"/>
  <c r="F59" i="30"/>
  <c r="F60" i="30"/>
  <c r="F61" i="30"/>
  <c r="F62" i="30"/>
  <c r="F63" i="30"/>
  <c r="F64" i="30"/>
  <c r="F65" i="30"/>
  <c r="F66" i="30"/>
  <c r="F67" i="30"/>
  <c r="F68" i="30"/>
  <c r="F69" i="30"/>
  <c r="F70" i="30"/>
  <c r="F71" i="30"/>
  <c r="F72" i="30"/>
  <c r="F73" i="30"/>
  <c r="F74" i="30"/>
  <c r="F9" i="30"/>
  <c r="C75" i="30"/>
  <c r="N75" i="30"/>
  <c r="I75" i="30"/>
  <c r="H75" i="30"/>
  <c r="G75" i="30"/>
  <c r="N29" i="20" l="1"/>
  <c r="N10" i="20" s="1"/>
  <c r="D23" i="20"/>
  <c r="Q10" i="20"/>
  <c r="P10" i="20"/>
  <c r="Y29" i="20"/>
  <c r="X29" i="20"/>
  <c r="D12" i="22"/>
  <c r="E12" i="22"/>
  <c r="F12" i="22"/>
  <c r="L12" i="22"/>
  <c r="M12" i="22"/>
  <c r="N12" i="22"/>
  <c r="O12" i="22"/>
  <c r="D13" i="22"/>
  <c r="E13" i="22"/>
  <c r="F13" i="22"/>
  <c r="H13" i="22"/>
  <c r="H12" i="22" s="1"/>
  <c r="I13" i="22"/>
  <c r="I12" i="22" s="1"/>
  <c r="J13" i="22"/>
  <c r="J12" i="22" s="1"/>
  <c r="K13" i="22"/>
  <c r="K12" i="22" s="1"/>
  <c r="L13" i="22"/>
  <c r="M13" i="22"/>
  <c r="N13" i="22"/>
  <c r="O13" i="22"/>
  <c r="C13" i="22"/>
  <c r="C12" i="22" s="1"/>
  <c r="G14" i="22"/>
  <c r="G13" i="22" s="1"/>
  <c r="G12" i="22" s="1"/>
  <c r="X25" i="20" l="1"/>
  <c r="C23" i="20"/>
  <c r="Y25" i="20"/>
  <c r="A4" i="18"/>
  <c r="X23" i="20" l="1"/>
  <c r="Y23" i="20"/>
  <c r="C11" i="20"/>
  <c r="M11" i="20"/>
  <c r="D29" i="20"/>
  <c r="D10" i="20" s="1"/>
  <c r="M29" i="20"/>
  <c r="M10" i="20" l="1"/>
  <c r="M13" i="23"/>
  <c r="M11" i="23" s="1"/>
  <c r="Y13" i="23"/>
  <c r="Y11" i="23" s="1"/>
  <c r="E13" i="23"/>
  <c r="E11" i="23" s="1"/>
  <c r="Q19" i="23"/>
  <c r="Q13" i="23" s="1"/>
  <c r="Q11" i="23" s="1"/>
</calcChain>
</file>

<file path=xl/sharedStrings.xml><?xml version="1.0" encoding="utf-8"?>
<sst xmlns="http://schemas.openxmlformats.org/spreadsheetml/2006/main" count="1442" uniqueCount="574">
  <si>
    <t>Vốn sự nghiệp</t>
  </si>
  <si>
    <t>-</t>
  </si>
  <si>
    <t>Vốn đầu tư phát triển</t>
  </si>
  <si>
    <t>Tổng cộng</t>
  </si>
  <si>
    <t>NS cấp xã</t>
  </si>
  <si>
    <t>NS cấp huyện</t>
  </si>
  <si>
    <t>NSTW, tỉnh</t>
  </si>
  <si>
    <t>Cộng</t>
  </si>
  <si>
    <t>Nội dung</t>
  </si>
  <si>
    <t>TT</t>
  </si>
  <si>
    <t>ĐVT: triệu đồng</t>
  </si>
  <si>
    <t xml:space="preserve"> -</t>
  </si>
  <si>
    <t>Xã ….</t>
  </si>
  <si>
    <t>II</t>
  </si>
  <si>
    <t>I</t>
  </si>
  <si>
    <t>ĐVT: Triệu đồng.</t>
  </si>
  <si>
    <t>Biểu số 02</t>
  </si>
  <si>
    <t>NSNN</t>
  </si>
  <si>
    <t>Nguồn khác (ngoài các nguồn NS)</t>
  </si>
  <si>
    <t>Nguồn ngân sách các cấp (ngoài nguồn trực tiếp)</t>
  </si>
  <si>
    <t>Tỷ lệ vốn được SD theo quy định (%)</t>
  </si>
  <si>
    <t>Tỷ lệ sử dụng vốn (%)</t>
  </si>
  <si>
    <t>Giá trị nghiệm thu hoặc phê duyệt QT</t>
  </si>
  <si>
    <t>BÁO CÁO</t>
  </si>
  <si>
    <t>Ghi chú</t>
  </si>
  <si>
    <t>Biểu số 04</t>
  </si>
  <si>
    <t>III</t>
  </si>
  <si>
    <t>Số tiền</t>
  </si>
  <si>
    <t>Trong đó:</t>
  </si>
  <si>
    <t>Nguồn vốn trực tiếp</t>
  </si>
  <si>
    <t>UBND HUYỆN (TP, TX)…..</t>
  </si>
  <si>
    <t>Sử dụng vốn vượt tỷ lệ quy định</t>
  </si>
  <si>
    <t>1.1</t>
  </si>
  <si>
    <t>Ghi rõ quy định về tỷ lệ áp dụng; căn cứ áp dụng</t>
  </si>
  <si>
    <t>1.2</t>
  </si>
  <si>
    <t>Xã….</t>
  </si>
  <si>
    <t>2.1</t>
  </si>
  <si>
    <t>2.2</t>
  </si>
  <si>
    <t>Hỗ trợ sai đối tượng hoặc sai chế độ</t>
  </si>
  <si>
    <t>Xã…..</t>
  </si>
  <si>
    <t>Sử dụng sai tính chất nguồn vốn</t>
  </si>
  <si>
    <t>Công trình ..(Liệt kê những công trình SD vốn vượt tỷ lệ)</t>
  </si>
  <si>
    <t>… Nội dung.(Liệt kê những nội dung SD vốn sai)…</t>
  </si>
  <si>
    <t>Nội dung... (Liệt kê những nội dung SD vốn vượt tỷ lệ)…</t>
  </si>
  <si>
    <t>3. Lũy kế từ khi thực hiện công trình</t>
  </si>
  <si>
    <t>NĂM 2015</t>
  </si>
  <si>
    <t>NSTW</t>
  </si>
  <si>
    <t>NS tỉnh</t>
  </si>
  <si>
    <t>1. Số vốn bố trí trong năm</t>
  </si>
  <si>
    <t>2. Số vốn thanh toán trong năm</t>
  </si>
  <si>
    <t>TỔNG CỘNG</t>
  </si>
  <si>
    <t>A</t>
  </si>
  <si>
    <t>B</t>
  </si>
  <si>
    <t>Năm 2015</t>
  </si>
  <si>
    <t>1. Tổng giá trị thực hiện</t>
  </si>
  <si>
    <t>2. Số vốn bố trí</t>
  </si>
  <si>
    <t>3. Số vốn đã thanh toán</t>
  </si>
  <si>
    <t xml:space="preserve">1. Nguồn vốn huy động </t>
  </si>
  <si>
    <t>a. Năm trước chuyển sang</t>
  </si>
  <si>
    <t>b. Huy động trong năm</t>
  </si>
  <si>
    <t>2. Nguồn vốn đã sử dụng</t>
  </si>
  <si>
    <t>4. Nguồn vốn còn lại chưa sử dụng chuyển kỳ sau</t>
  </si>
  <si>
    <t>5. Tỷ lệ giải ngân nguồn vốn (%)</t>
  </si>
  <si>
    <t>….</t>
  </si>
  <si>
    <t>……………….</t>
  </si>
  <si>
    <t>BÁO CÁO KINH PHÍ SỬ DỤNG VƯỢT TỶ LỆ; SAI ĐỐI TƯỢNG; SAI CHẾ ĐỘ; SAI TÍNH CHẤT NGUỒN VỐN</t>
  </si>
  <si>
    <t>NĂM …..</t>
  </si>
  <si>
    <t>3. Kinh phí hết nhiệm vụ chi giảm, nộp trả; kết dư</t>
  </si>
  <si>
    <t>Nội dung, công việc</t>
  </si>
  <si>
    <t>Mức được sử dụng ngân sách hỗ trợ đối với tất cả các xã (trừ các xã khó khăn)</t>
  </si>
  <si>
    <t>Mức được sử dụng NS hỗ trợ đối với các xã khó khăn (xã thuộc Chương trình 30b, 106, 135)</t>
  </si>
  <si>
    <t>Ngân sách TW, tỉnh</t>
  </si>
  <si>
    <t>Tổng mức NSNN các cấp</t>
  </si>
  <si>
    <t>Tổng mức ngân sách Nhà nước các cấp</t>
  </si>
  <si>
    <t>Công tác quy hoạch</t>
  </si>
  <si>
    <t>≤ 100</t>
  </si>
  <si>
    <t>Xây dựng trụ sở xã</t>
  </si>
  <si>
    <t>Công tác đào tạo, tập huấn, tuyên truyền xây dựng nông thôn mới</t>
  </si>
  <si>
    <t>Xây dựng trường học đạt chuẩn</t>
  </si>
  <si>
    <t>≤ 80</t>
  </si>
  <si>
    <t>≤ 95</t>
  </si>
  <si>
    <t>≤ 85</t>
  </si>
  <si>
    <t>Xây dựng trạm Y tế xã</t>
  </si>
  <si>
    <t>≤ 90</t>
  </si>
  <si>
    <t>Đường trục xã, liên xã</t>
  </si>
  <si>
    <t>Nhà văn hoá xã</t>
  </si>
  <si>
    <t>≤ 75</t>
  </si>
  <si>
    <t>Xây dựng công trình cấp nước sinh hoạt tập trung</t>
  </si>
  <si>
    <t>Công tác vệ sinh môi trường</t>
  </si>
  <si>
    <t>Hệ thống thoát nước thải</t>
  </si>
  <si>
    <t>Điểm thu gom rác thải thôn, xóm</t>
  </si>
  <si>
    <t>≤ 50</t>
  </si>
  <si>
    <t>≤ 70</t>
  </si>
  <si>
    <t>Điểm tập trung xử lý rác thải ở xã</t>
  </si>
  <si>
    <t>Phương tiện vận chuyển rác</t>
  </si>
  <si>
    <t>≤ 60</t>
  </si>
  <si>
    <t>Phương tiện thu gom rác (xe đẩy tay), thùng đựng rác công cộng</t>
  </si>
  <si>
    <t>Chế phẩm sinh học để xử lý chất thải hữu cơ làm phân vi sinh</t>
  </si>
  <si>
    <t>Xây dựng lò đốt rác</t>
  </si>
  <si>
    <t>Hệ thống truyền thanh</t>
  </si>
  <si>
    <t>Cấp xã</t>
  </si>
  <si>
    <t>Thôn, xóm</t>
  </si>
  <si>
    <t xml:space="preserve">Đường trục thôn, xóm </t>
  </si>
  <si>
    <t>Đường trục chính nội đồng</t>
  </si>
  <si>
    <t>Kiên cố hóa kênh mương nội đồng và thủy lợi nhỏ</t>
  </si>
  <si>
    <t>Công trình thể thao xã</t>
  </si>
  <si>
    <t>≤ 65</t>
  </si>
  <si>
    <t>Nhà văn hoá thôn, bản</t>
  </si>
  <si>
    <t>Đường ngõ xóm</t>
  </si>
  <si>
    <t>≤ 40</t>
  </si>
  <si>
    <t xml:space="preserve">≤ 80 </t>
  </si>
  <si>
    <t>Công trình thể thao thôn, bản</t>
  </si>
  <si>
    <t>≤ 45</t>
  </si>
  <si>
    <t xml:space="preserve">Hệ thống đường ống nước trục nhánh đến hàng rào hộ gia đình </t>
  </si>
  <si>
    <t>Xây dựng công trình cấp nước sinh hoạt nhỏ lẻ (giếng đào, giếng khoan, lu, bể chứa nước mưa)</t>
  </si>
  <si>
    <t>Công trình chợ nông thôn</t>
  </si>
  <si>
    <t>Chợ xây mới</t>
  </si>
  <si>
    <t>≤ 30</t>
  </si>
  <si>
    <t>Chợ nâng cấp, mở rộng</t>
  </si>
  <si>
    <t>Mạng lưới Internet đến thôn</t>
  </si>
  <si>
    <t>Hỗ trợ xây dựng mô hình</t>
  </si>
  <si>
    <t>Mô hình trình diễn</t>
  </si>
  <si>
    <t>Theo định mức Nghị định số 02/NĐ-CP ngày 08 tháng 01 năm 2010 của Chính phủ và các quy định của Trung ương, tỉnh</t>
  </si>
  <si>
    <t>Mô hình khác</t>
  </si>
  <si>
    <t xml:space="preserve"> +</t>
  </si>
  <si>
    <t xml:space="preserve">Hỗ trợ giống </t>
  </si>
  <si>
    <t>Hỗ trợ các vật tư khác</t>
  </si>
  <si>
    <t>Hỗ trợ giống mới, ứng dụng tiến bộ khoa học công nghệ mới vào sản xuất</t>
  </si>
  <si>
    <t>Hỗ trợ mua máy móc, thiết bị gieo trồng, chăn nuôi, thu hoạch, chế biến bảo quản tiêu thụ sản phẩm trong lĩnh vực trồng trọt, chăn nuôi, thủy sản, lâm nghiệp, diêm nghiệp, chế biến nông lâm thủy sản, ngành nghề tiểu thủ công nghiệp và dịch vụ nông thôn</t>
  </si>
  <si>
    <t>Hạ tầng thiết yếu trong hàng rào phục vụ sản xuất, tiểu thủ công nghiệp, thủy sản (hệ thống nước, xử lý chất thải, xây dựng chuồng trại, hệ thống nhà lưới, vệ sinh môi trường…)</t>
  </si>
  <si>
    <t xml:space="preserve">Điểm phục vụ bưu chính viễn thông </t>
  </si>
  <si>
    <t>Hạ tầng ngoài hàng rào các khu sản xuất tập trung, tiểu thủ công nghiệp, thủy sản ngoài hàng rào (ngoài đối tượng theo Quyết định 67/2014/QĐ-UBND ngày 10/10/2014 của UBND tỉnh)</t>
  </si>
  <si>
    <t>Đường giao thông</t>
  </si>
  <si>
    <t>Đường điện</t>
  </si>
  <si>
    <t>Nước phục vụ sản xuất và sinh hoạt</t>
  </si>
  <si>
    <t>Hệ thống công trình xử lý môi trường (hồ lắng sinh học, hồ thủy sinh, hệ thống công trình thoát nước thải sau Biogas, bể lắng, bể xử lý vi sinh, bể xử lý mùi, ao xử lý chất thải…)</t>
  </si>
  <si>
    <t>Hỗ trợ xây dựng nghĩa trang (chỉnh trang và xây dựng các hạng mục phụ trợ trong nghĩa trang, làm đường vào nghĩa trang, nhà quản trang)</t>
  </si>
  <si>
    <t xml:space="preserve">Các nội dung công việc khác (chuyển giao tiến bộ khoa học công nghệ, tham quan học tập...) </t>
  </si>
  <si>
    <t>Thực hiện theo Quyết định của các cấp có thẩm quyền.</t>
  </si>
  <si>
    <t xml:space="preserve">Tổng cộng </t>
  </si>
  <si>
    <t>Số</t>
  </si>
  <si>
    <t>Kinh phí</t>
  </si>
  <si>
    <t>Trong đó</t>
  </si>
  <si>
    <t>Kinh phí thưởng (hoặc hỗ trợ) theo chính sách</t>
  </si>
  <si>
    <t>Tỉnh</t>
  </si>
  <si>
    <t>Huyện</t>
  </si>
  <si>
    <t>NSNN hỗ trợ (ngoài thưởng hoặc hỗ trợ của chính sách)</t>
  </si>
  <si>
    <t>Đóng góp của các tổ chức, cá nhân</t>
  </si>
  <si>
    <t>Khác</t>
  </si>
  <si>
    <t>TW</t>
  </si>
  <si>
    <t>xã</t>
  </si>
  <si>
    <t>Ngày/tháng/năm</t>
  </si>
  <si>
    <t>Quyết định phê duyệt Phương án Dự toán để thực hiện xây dựng Khu dân cư NTM kiểu mẫu</t>
  </si>
  <si>
    <t xml:space="preserve">Quyết định công nhận Khu dân cư NTM kiểu mẫu đạt chuẩn </t>
  </si>
  <si>
    <t xml:space="preserve">Kinh phí quyết toán thực hiện xây dựng Khu dân cư NTM kiểu mẫu </t>
  </si>
  <si>
    <t>1.3</t>
  </si>
  <si>
    <t>Đơn vị</t>
  </si>
  <si>
    <t>2. Thực hiện (%)</t>
  </si>
  <si>
    <t>STT</t>
  </si>
  <si>
    <t>Nhà ở và công 
trình phụ trợ</t>
  </si>
  <si>
    <t>Vườn hộ và công 
trình chăn nuôi</t>
  </si>
  <si>
    <t>Hàng rào</t>
  </si>
  <si>
    <t>Đường giao
thông</t>
  </si>
  <si>
    <t>Nhà văn hoá và 
khu thể thao thôn</t>
  </si>
  <si>
    <t>Hệ thống điện</t>
  </si>
  <si>
    <t>Văn hoá, giáo dục, y tế</t>
  </si>
  <si>
    <t>Vệ sinh môi trường</t>
  </si>
  <si>
    <t>Hệ thống chính trị và an ninh, trật tự XH</t>
  </si>
  <si>
    <t>1. Nghị quyết 114/2014</t>
  </si>
  <si>
    <t xml:space="preserve"> XÂY DỰNG NTM GIAI ĐOẠN 2015-2020</t>
  </si>
  <si>
    <t>Tổng số</t>
  </si>
  <si>
    <t>Đạt chuẩn Khu dân cư NTM kiểu mẫu</t>
  </si>
  <si>
    <t>Chưa đạt chuẩn Khu dân cư NTM kiểu mẫu</t>
  </si>
  <si>
    <t>Số lượng thôn (xóm)</t>
  </si>
  <si>
    <t>Xã</t>
  </si>
  <si>
    <t>Tỷ lệ (%) số lượng thôn đạt chuẩn Khu dân cư NTM kiểu mẫu tại thời điểm báo cáo</t>
  </si>
  <si>
    <t>Kế hoạch UBND tỉnh giao (bao gồm cả khối lượng điều chỉnh trong năm)</t>
  </si>
  <si>
    <t>Kế hoạch UBND cấp huyện giao (bao gồm cả khối lượng điều chỉnh trong năm)</t>
  </si>
  <si>
    <t>Số liệu UBND cấp huyện 
đề nghị quyết toán</t>
  </si>
  <si>
    <t>Khối lượng thực hiện được 
áp dụng cơ chế hỗ trợ xi măng</t>
  </si>
  <si>
    <t>Chiều dài (km)</t>
  </si>
  <si>
    <t>Khối lượng xi măng (tấn)</t>
  </si>
  <si>
    <t>Khối lượng xi măng đề nghị quyết toán (tấn)</t>
  </si>
  <si>
    <t>Khối lượng xi măng được hỗ trợ theo cơ chế (tấn)</t>
  </si>
  <si>
    <t>Rãnh thoát nước</t>
  </si>
  <si>
    <t>Kênh mương nội đồng</t>
  </si>
  <si>
    <t>1. Khối lượng xi măng giao nhận giữa đơn vị cung ứng và UBND cấp xã (tấn)</t>
  </si>
  <si>
    <t>2. Khối lượng xi măng được hỗ trợ theo cơ chế (tấn)</t>
  </si>
  <si>
    <t>Chia ra các cấp NS hỗ trợ</t>
  </si>
  <si>
    <t>3. Khối lượng xi măng đã sử dụng làm đường, rãnh, kênh nhưng không được hỗ trợ theo cơ chế do vượt KH, định mức hoặc không đảm bảo quy chuẩn (tấn)</t>
  </si>
  <si>
    <t>4. Kinh phí mua xi măng các cấp NS đảm bảo 
(nghìn đồng)</t>
  </si>
  <si>
    <t>Chia ra:</t>
  </si>
  <si>
    <t>NS cấp huyện đảm bảo</t>
  </si>
  <si>
    <t>NS cấp xã đảm bảo</t>
  </si>
  <si>
    <t>NS cấp huyện, cấp xã (bao gồm khối lượng vượt định mức hoặc không đảm bảo quy chuẩn tại cột 6, 7, 8)</t>
  </si>
  <si>
    <t>2=3+4+5</t>
  </si>
  <si>
    <t>6=7+8</t>
  </si>
  <si>
    <t>9=10+11</t>
  </si>
  <si>
    <t>11=12+13</t>
  </si>
  <si>
    <t>Giá trị quyết toán công trình hoàn thành
(triệu đồng)</t>
  </si>
  <si>
    <t>1. Xi măng</t>
  </si>
  <si>
    <t>2. Chi phí khác ngoài xi măng (bao gồm hiện vật quy ra tiền)</t>
  </si>
  <si>
    <t>Khối lượng
(tấn)</t>
  </si>
  <si>
    <t>Kinh phí  (triệu đồng)</t>
  </si>
  <si>
    <t>NSNN hỗ trợ (triệu đồng)</t>
  </si>
  <si>
    <t>Đóng góp của nhân dân (triệu đồng)</t>
  </si>
  <si>
    <t>Ngân sách tỉnh</t>
  </si>
  <si>
    <t>Ngân sách cấp huyện</t>
  </si>
  <si>
    <t>Ngân sách cấp xã</t>
  </si>
  <si>
    <t>NS huyện</t>
  </si>
  <si>
    <t>NS xã</t>
  </si>
  <si>
    <t>1=6+7+8</t>
  </si>
  <si>
    <t>7=8+13</t>
  </si>
  <si>
    <t>8=9+10+11+12</t>
  </si>
  <si>
    <t>Chấp hành pháp luật, quy ước, hương ước và các quy định khác của các tổ chức</t>
  </si>
  <si>
    <t>Khu dân cư NTM kiểu mẫu</t>
  </si>
  <si>
    <t>Thời điểm công nhận đạt chuẩn</t>
  </si>
  <si>
    <t xml:space="preserve">Các tiêu chí khu dân cư nông thôn mới kiểu mẫu </t>
  </si>
  <si>
    <t>Địa chỉ (thôn, xóm/ xã)</t>
  </si>
  <si>
    <t>Biểu số 05</t>
  </si>
  <si>
    <t>SO SÁNH TỶ LỆ (%) SỬ DỤNG VỐN NSNN THỰC HIỆN CHƯƠNG TRÌNH MTQG</t>
  </si>
  <si>
    <t>Biểu số 06</t>
  </si>
  <si>
    <t>Biểu số 07</t>
  </si>
  <si>
    <t>Biểu số 08</t>
  </si>
  <si>
    <t>Tổng số hộ trên địa bàn</t>
  </si>
  <si>
    <t>Số vườn mẫu trên địa bàn</t>
  </si>
  <si>
    <t>Thực trạng chung, hiệu quả của các vườn mẫu hiện nay</t>
  </si>
  <si>
    <t>Biểu số 09</t>
  </si>
  <si>
    <t>Tỷ lệ (%) số lượng vườn mẫu đạt chuẩn trên số hộ tại thời điểm báo cáo</t>
  </si>
  <si>
    <t>Quy hoạch và thực hiện quy hoạch</t>
  </si>
  <si>
    <t>Ứng dụng tiến bộ khoa học kỷ thuật</t>
  </si>
  <si>
    <t>Sản phẩm từ vườn</t>
  </si>
  <si>
    <t>Môi trường cảnh quan</t>
  </si>
  <si>
    <t>Thu nhập</t>
  </si>
  <si>
    <t xml:space="preserve">Tỉnh </t>
  </si>
  <si>
    <t xml:space="preserve">Huyện </t>
  </si>
  <si>
    <t xml:space="preserve">Cộng </t>
  </si>
  <si>
    <t>Ngân sách địa phương hỗ trợ (Triệu đồng)</t>
  </si>
  <si>
    <t xml:space="preserve">Năm công nhận </t>
  </si>
  <si>
    <t>Tổ chức, cá nhân đạt vườn mẫu</t>
  </si>
  <si>
    <t>Quy mô vườn mẫu (m2)</t>
  </si>
  <si>
    <t>Biểu số 10</t>
  </si>
  <si>
    <t>Biểu số 12</t>
  </si>
  <si>
    <t>Biểu số 11</t>
  </si>
  <si>
    <t>Biểu số 03</t>
  </si>
  <si>
    <t>Thực trạng chung của các khu dân cư NTM kiểu mẫu đã được công nhận công nhận giai đoạn 2015-2020  hiện nay</t>
  </si>
  <si>
    <t xml:space="preserve">Tiêu chí khu dân cư nông thôn mới kiểu mẫu </t>
  </si>
  <si>
    <t>TỔNG HỢP TÌNH HÌNH GIẢI NGÂN NGUỒN VỐN THỰC HIỆN CHƯƠNG TRÌNH MTQG XÂY DỰNG NTM NĂM 2015-2022</t>
  </si>
  <si>
    <t>TÌNH HÌNH SỬ DỤNG VỐN ĐẦU TƯ PHÁT TRIỂN NĂM 2015-2022</t>
  </si>
  <si>
    <t>BÁO CÁO TÌNH HÌNH SỬ DỤNG VỐN SỰ NGHIỆP THỰC HIỆN CHƯƠNG TRÌNH NÔNG THÔN MỚI NĂM 2015-2022</t>
  </si>
  <si>
    <t>KHỐI LƯỢNG ĐƯỜNG GIAO THÔNG, RÃNH THOÁT NƯỚC, KÊNH MƯƠNG NỘI ĐỒNG ĐƯỢC HỖ TRỢ THEO CƠ CHẾ XI MĂNG GIAI ĐOẠN 2015-2022</t>
  </si>
  <si>
    <t>KHỐI LƯỢNG, KINH PHÍ MUA XI MĂNG CÁC CẤP NGÂN SÁCH HỖ TRỢ LÀM ĐƯỜNG GIAO THÔNG, RÃNH THOÁT NƯỚC, 
KÊNH MƯƠNG NỘI ĐỒNG THEO CƠ CHẾ XI MĂNG GIAI ĐOẠN 2015-2022</t>
  </si>
  <si>
    <t>BẢNG TỔNG HỢP QUYẾT TOÁN KHỐI LƯỢNG, KINH PHÍ HỖ TRỢ XI MĂNG LÀM ĐƯỜNG GIAO THÔNG, 
RÃNH THOÁT NƯỚC VÀ KÊNH MƯƠNG NỘI ĐỒNG GIAI ĐOẠN 2015-2022</t>
  </si>
  <si>
    <r>
      <rPr>
        <b/>
        <sz val="13"/>
        <rFont val="Times New Roman"/>
        <family val="1"/>
      </rPr>
      <t>SỐ LƯỢNG</t>
    </r>
    <r>
      <rPr>
        <b/>
        <sz val="13"/>
        <color theme="1"/>
        <rFont val="Times New Roman"/>
        <family val="1"/>
      </rPr>
      <t xml:space="preserve">  KHU DÂN CƯ NÔNG THÔN MỚI KIỂU MẪU ĐÃ ĐƯỢC CÔNG NHẬN GIAI ĐOẠN 2015-2022</t>
    </r>
  </si>
  <si>
    <t>THỰC TRẠNG HIỆN NAY CỦA TỪNG KHU DÂN CƯ NÔNG THÔN MỚI KIỂU MẪU ĐÃ ĐƯỢC CÔNG NHẬN GIAI ĐOẠN 2015 - 2022</t>
  </si>
  <si>
    <r>
      <rPr>
        <b/>
        <sz val="13"/>
        <rFont val="Times New Roman"/>
        <family val="1"/>
      </rPr>
      <t>SỐ LƯỢNG</t>
    </r>
    <r>
      <rPr>
        <b/>
        <sz val="13"/>
        <color theme="1"/>
        <rFont val="Times New Roman"/>
        <family val="1"/>
      </rPr>
      <t xml:space="preserve">  VƯỜN MẪU NÔNG THÔN MỚI ĐƯỢC CÔNG NHẬN GIAI ĐOẠN 2015 - 2021</t>
    </r>
  </si>
  <si>
    <t>THỰC TRẠNG HIỆN NAY CỦA VƯỜN MẪU ĐÃ ĐƯỢC CÔNG NHẬN GIAI ĐOẠN 2015 - 2021</t>
  </si>
  <si>
    <t>Trong đó: Số lượng Khu dân cư NTM kiểu mẫu công nhận giai đoạn 2015-2022</t>
  </si>
  <si>
    <t>Trong đó số lượng vườn mẫu công nhận giai đoạn 2015-2021</t>
  </si>
  <si>
    <t>Xã Thạch Châu</t>
  </si>
  <si>
    <t>NĂM 2016</t>
  </si>
  <si>
    <t>NĂM 2017</t>
  </si>
  <si>
    <t>NĂM 2018</t>
  </si>
  <si>
    <t>NĂM 2019</t>
  </si>
  <si>
    <t>NĂM 2020</t>
  </si>
  <si>
    <t>NĂM 2021</t>
  </si>
  <si>
    <t>NĂM 2022</t>
  </si>
  <si>
    <t>Năm 2019</t>
  </si>
  <si>
    <t>Năm 2016</t>
  </si>
  <si>
    <t>Năm 2017</t>
  </si>
  <si>
    <t>Năm 2018</t>
  </si>
  <si>
    <t>Năm 2020</t>
  </si>
  <si>
    <t>Năm 2021</t>
  </si>
  <si>
    <t>Năm 2022</t>
  </si>
  <si>
    <t>1 khu dân cư về đích trước năm 2015</t>
  </si>
  <si>
    <t>Khu dân cư NTM kiểu mẫu thôn Bằng Châu</t>
  </si>
  <si>
    <t>1.4</t>
  </si>
  <si>
    <t>1.5</t>
  </si>
  <si>
    <t>1.6</t>
  </si>
  <si>
    <t>1.7</t>
  </si>
  <si>
    <t>1.8</t>
  </si>
  <si>
    <t>1.9</t>
  </si>
  <si>
    <t>1.10</t>
  </si>
  <si>
    <t>1.11</t>
  </si>
  <si>
    <t>Khu dân cư NTM kiểu mẫu thôn Tiến Châu</t>
  </si>
  <si>
    <t>Khu dân cư NTM kiểu mẫu thôn ĐỨc Châu</t>
  </si>
  <si>
    <t>Khu dân cư NTM kiểu mẫu thôn Hồng Lạc</t>
  </si>
  <si>
    <t>Khu dân cư NTM kiểu mẫu thôn Minh Quý</t>
  </si>
  <si>
    <t>Khu dân cư NTM kiểu mẫu thôn Thanh Tân</t>
  </si>
  <si>
    <t>Khu dân cư NTM kiểu mẫu thôn Kim Ngọc</t>
  </si>
  <si>
    <t>Khu dân cư NTM kiểu mẫu thôn Quang Phú</t>
  </si>
  <si>
    <t>Khu dân cư NTM kiểu mẫu thôn AN Lộc</t>
  </si>
  <si>
    <t>Khu dân cư NTM kiểu mẫu thôn Lâm Châu</t>
  </si>
  <si>
    <t>Khu dân cư NTM kiểu mẫu thôn Châu Hạ</t>
  </si>
  <si>
    <t>6150/QĐ</t>
  </si>
  <si>
    <t>12644/QĐ</t>
  </si>
  <si>
    <t>Đường giao thông trục thôn Minh Quý, xã Thạch Châu</t>
  </si>
  <si>
    <t>Rãnh thoát nước trục xã, trục thôn, ngõ thôn xã Thạch Châu</t>
  </si>
  <si>
    <t>Nâng cấp đường trục thôn Lâm Châu, xã Thạch Châu</t>
  </si>
  <si>
    <t>Đường giao thông từ nhà anh Nhi đến nhà anh Thể, thôn Bằng Châu, xã Thạch Châu</t>
  </si>
  <si>
    <t>Đường giao thông thôn Minh Quý, xã Thạch Châu</t>
  </si>
  <si>
    <t>Đường giao thông từ đường liên xã đến đường ma thôn Tiến Châu, xã Thạch Châu</t>
  </si>
  <si>
    <t>Kênh mương nội đồng xã Thạch Châu</t>
  </si>
  <si>
    <t>Đường giao thông trục thôn, ngõ thôn xã Thạch Châu</t>
  </si>
  <si>
    <t>Đường trục thôn từ QL 281 đi ông Hải</t>
  </si>
  <si>
    <t>Nâng cấp đường trục xã đoạn từ QL 281 đi thôn Lâm Châu, xã Thạch Châu</t>
  </si>
  <si>
    <t>Ngôi nhà trí tuệ thôn Hồng Lạc, xã Thạch Châu</t>
  </si>
  <si>
    <t>Đường giao thông thôn Đức Châu, Quang Phú, An Lộc xã Thạch Châu</t>
  </si>
  <si>
    <t>Rãnh thoát nước hai bên đường xã Thạch Châu năm 2022</t>
  </si>
  <si>
    <t>Nâng cấp đường GTNT ngõ thôn xã Thạch Châu năm 2022</t>
  </si>
  <si>
    <t>Kênh mương tưới, tiêu nội đồng thôn Hồng Lạc, An Lộc xã Thạch Châu năm 2022</t>
  </si>
  <si>
    <t>Kênh mương nội đồng, xã Thạch Châu</t>
  </si>
  <si>
    <t>Nâng cấp mặt đường thôn Thanh Tân, xã Thạch Châu</t>
  </si>
  <si>
    <t>Nâng cấp mặt đường thôn Kim Ngọc, xã Thạch Châu</t>
  </si>
  <si>
    <t xml:space="preserve">Đường giao thông xã Thạch Châu, huyện Lộc Hà          </t>
  </si>
  <si>
    <t>Đường giao thông trục thôn Đức Châu, xã Thạch Châu</t>
  </si>
  <si>
    <t>Rãnh thoát nước trục thôn, ngõ thôn xã Thạch Châu</t>
  </si>
  <si>
    <t>Đường giao thông ngõ thôn Tiến Châu, Thanh Tân, Kim Ngọc, Quang Phú, An Lộc, Châu Hạ xã Thạch Châu</t>
  </si>
  <si>
    <t>Đường giao thông ngõ thôn, trục thôn Hồng Lạc, Tiến Châu, Kim Ngọc, An Lộc, Châu Hạ, Thanh Tân xã Thạch Châu</t>
  </si>
  <si>
    <t>Kênh mương tưới tiêu nội đồng thôn Bằng Châu, Hồng Lạc, Thanh Tân, Quang Phú, Lâm Châu, xã Thạch Châu</t>
  </si>
  <si>
    <t>Đường giao thông ngõ thôn Quang Phú, Hồng Lạc, Châu Hạ, Lâm Châu,Minh Quý, An Lộc xã Thạch Châu</t>
  </si>
  <si>
    <t>Nâng cấp mặt đường thôn Đức Châu và Thanh Tân, xã Thạch Châu</t>
  </si>
  <si>
    <t>Nâng cấp mặt đường thôn Minh Quý, xã Thạch Châu</t>
  </si>
  <si>
    <t>Nâng cấp mặt đường thôn Châu Hạ và Quang Phú, xã Thạch Châu</t>
  </si>
  <si>
    <t>Nâng cấp mặt đường thôn Bằng Châu và Lâm Châu, xã Thạch Châu</t>
  </si>
  <si>
    <t>Kênh mương nội đồng thôn Hồng Lạc, Kim Ngọc</t>
  </si>
  <si>
    <t>Nâng cấp, mở rộng đường trục thôn Đức Châu</t>
  </si>
  <si>
    <t>Đường GTNT thôn Bằng Châu, Châu Hạ</t>
  </si>
  <si>
    <t>Nâng cấp đường giao thông trục thôn Hồng Lạc, xã Thạch Châu</t>
  </si>
  <si>
    <t xml:space="preserve">Nhà vệ sinh trường THCS Mỹ Châu </t>
  </si>
  <si>
    <t>Kênh mương nội đồng thôn Minh Quý, Bằng Châu, Thanh Tân</t>
  </si>
  <si>
    <t>Rãnh thoát nước trục xã thôn Quang Phú, Hồng Lạc, Đức Châu</t>
  </si>
  <si>
    <t>Rãnh thoát nước trục thôn Bằng Châu, Hồng Lạc, Lâm Châu, Minh Quý, xã Thạch Châu</t>
  </si>
  <si>
    <t>Đường GTNT thôn Minh Quý, An Lộc, Bằng Châu</t>
  </si>
  <si>
    <t>Đường giao thông nông thôn Quang Phú, Châu Hạ</t>
  </si>
  <si>
    <t>Rãnh thoát nước ngõ thôn Lâm Châu, Châu Hạ xã Thạch Châu</t>
  </si>
  <si>
    <t>Rãnh thoát nước ngõ thôn Hồng Lạc xã Thạch Châu</t>
  </si>
  <si>
    <t>Rãnh thoát nước ngõ thôn Đức Châu, Tiến Châu, Thanh Tân xã Thạch Châu</t>
  </si>
  <si>
    <t>Rãnh thoát nước ngõ thôn Kim Ngọc, Quang Phú, Bằng Châu, An Lộc xã Thạch Châu</t>
  </si>
  <si>
    <t>Đường giao thông nông thôn thôn Lâm Châu</t>
  </si>
  <si>
    <t>Đường giao thông nông thôn thôn Bằng Châu, Tiến Châu, Hồng Lạc, Thanh Tân, Kim Ngọc và Lâm Châu, xã Thạch Châu</t>
  </si>
  <si>
    <t>Đường GTNĐ Quang Phú, Hồng Lạc</t>
  </si>
  <si>
    <t>Kênh mương thoát nước trục xã năm 2017</t>
  </si>
  <si>
    <t>Rãnh thoát nước trục xã từ anh Cơ - bà Dụng</t>
  </si>
  <si>
    <t>Đường GTNT tuyến y tế dự phòng - cựa Hoàn</t>
  </si>
  <si>
    <t>Đường GTNT tuyến ông Tám  -nhà đàng, đường 22 -cựa bà Châu, anh Danh - anh Thanh, Hồng Lạc - Minh Quý</t>
  </si>
  <si>
    <t>Đường GTNĐ từ ông Tình - anh Sơn, cựa Thông  -voong Đenh</t>
  </si>
  <si>
    <t>Đường GTNĐ từ hoa đào - sông nghèn, từ Hồng Lạc - Minh Quý</t>
  </si>
  <si>
    <t>Đường GTNĐ từ bà Lài - Thạch Bằng</t>
  </si>
  <si>
    <t>Đường GTNĐ từ đường Chéo  - An Lộc, thôn An Lộc</t>
  </si>
  <si>
    <t>Đường GTNĐ từ đồng Tràm - đồng Lối, thôn Lâm Châu</t>
  </si>
  <si>
    <t>Đường GTNĐ từ câu lạc bộ  -cựa bà Cẩu</t>
  </si>
  <si>
    <t>Đường GTNĐ từ cựa Vinh - Lâm Châu, thôn Quang Phú</t>
  </si>
  <si>
    <t>Đường GTNĐ từ Bằng Châu - hoa đào, từ anh Túy - mầm non</t>
  </si>
  <si>
    <t>Đường GTNĐ từ cựa anh Châu  -ông Hồng, cựa Hảo - cựa Thắng, thôn Đức Châu</t>
  </si>
  <si>
    <t>Nguyễn Tiến Lực</t>
  </si>
  <si>
    <t>Tiến Châu</t>
  </si>
  <si>
    <t>Đã thực hiện</t>
  </si>
  <si>
    <t>Rau củ quả</t>
  </si>
  <si>
    <t>Xanh sạch đẹp</t>
  </si>
  <si>
    <t>Phạm Hồng Thanh</t>
  </si>
  <si>
    <t>Minh quý</t>
  </si>
  <si>
    <t>Tô Thị Lý</t>
  </si>
  <si>
    <t>Thanh tân</t>
  </si>
  <si>
    <t>Nguyễn Trọng Lê</t>
  </si>
  <si>
    <t>Quang Phú</t>
  </si>
  <si>
    <t>Nguyễn Trọng Anh</t>
  </si>
  <si>
    <t>Kim Ngọc</t>
  </si>
  <si>
    <t>Nguyễn Thái Thị</t>
  </si>
  <si>
    <t>Bằng Châu</t>
  </si>
  <si>
    <t>Lê Thị Nhung</t>
  </si>
  <si>
    <t>Thanh Tân</t>
  </si>
  <si>
    <t>Nguyễn Thanh Hồng</t>
  </si>
  <si>
    <t>An Lộc</t>
  </si>
  <si>
    <t>Trần Thị Liên</t>
  </si>
  <si>
    <t>Đức Châu</t>
  </si>
  <si>
    <t>Nguyễn Đình Lưu</t>
  </si>
  <si>
    <t>Lê Phúc Phương</t>
  </si>
  <si>
    <t>Nguyễn Đức Hồng</t>
  </si>
  <si>
    <t>Lê Văn Cẩn</t>
  </si>
  <si>
    <t>Lê Thị Nhỏ</t>
  </si>
  <si>
    <t>Phan Huy Anh</t>
  </si>
  <si>
    <t>Lê Thanh Hà</t>
  </si>
  <si>
    <t>Nguyễn Thị Nghuyệt</t>
  </si>
  <si>
    <t>Lê Xuân Quyền</t>
  </si>
  <si>
    <t>Hồng Lạc</t>
  </si>
  <si>
    <t>Nguyễn Minh Đức</t>
  </si>
  <si>
    <t>Lê Ngọc Giáo</t>
  </si>
  <si>
    <t>Lâm Châu</t>
  </si>
  <si>
    <t>Phạm Minh Đồng</t>
  </si>
  <si>
    <t>Nguyễn Đình Thế</t>
  </si>
  <si>
    <t>Lê Thị Chắt</t>
  </si>
  <si>
    <t>Lê Văn Quế</t>
  </si>
  <si>
    <t>Lê Xuân Chương</t>
  </si>
  <si>
    <t>Lê Văn Thơ</t>
  </si>
  <si>
    <t>Lê Phúc Niêm</t>
  </si>
  <si>
    <t>Lê Quang Thung</t>
  </si>
  <si>
    <t>Nguyễn Văn Thắng</t>
  </si>
  <si>
    <t>Nguyễn Thị Hồng</t>
  </si>
  <si>
    <t>Bằng châu</t>
  </si>
  <si>
    <t>Nguyễn Hửu Trí</t>
  </si>
  <si>
    <t>Nguyễn Công Hoan</t>
  </si>
  <si>
    <t>Châu Hạ</t>
  </si>
  <si>
    <t>Lê Hửu Xuân</t>
  </si>
  <si>
    <t>Lê Đình Hoàn</t>
  </si>
  <si>
    <t>Lê Đình Chất</t>
  </si>
  <si>
    <t>Lê xuân Nhiên</t>
  </si>
  <si>
    <t>Nguyễn Thị Viện</t>
  </si>
  <si>
    <t>Phạm Xuân Huệ</t>
  </si>
  <si>
    <t>Nguyễn Chất</t>
  </si>
  <si>
    <t>Lê Quang Tứ</t>
  </si>
  <si>
    <t>Nguyễn Đức Tình</t>
  </si>
  <si>
    <t>Lê Thị Đình</t>
  </si>
  <si>
    <t>Nguyễn Tam</t>
  </si>
  <si>
    <t>Lê Quang Mai</t>
  </si>
  <si>
    <t>Nguyễn Ngọc Tiến</t>
  </si>
  <si>
    <t>Trần Thanh Bình</t>
  </si>
  <si>
    <t>Lê Mai Hân</t>
  </si>
  <si>
    <t>Minh Quý</t>
  </si>
  <si>
    <t>Lê Phúc Ba</t>
  </si>
  <si>
    <t>Nguyễn Văn Hân</t>
  </si>
  <si>
    <t>Nguyễn Đình Tịnh</t>
  </si>
  <si>
    <t>Trần Văn Phán</t>
  </si>
  <si>
    <t>Lê Hửu Hải</t>
  </si>
  <si>
    <t>Lê Đình Lương</t>
  </si>
  <si>
    <t>Nguyễn Tiến Tám</t>
  </si>
  <si>
    <t>Nguyễn Thành Công</t>
  </si>
  <si>
    <t>Phan Huy Quế</t>
  </si>
  <si>
    <t>Nguyễn Đình Thi</t>
  </si>
  <si>
    <t>Lê Văn Tứ</t>
  </si>
  <si>
    <t>Lê Thị Kim</t>
  </si>
  <si>
    <t>Nguyễn Đình Tám</t>
  </si>
  <si>
    <t>Lê Hồng Vân</t>
  </si>
  <si>
    <t>Trần Hửu Chung</t>
  </si>
  <si>
    <t>Phan Huy Lượng</t>
  </si>
  <si>
    <t>Phạm Thị Khoa</t>
  </si>
  <si>
    <t>Nguyễn Đức Thảo</t>
  </si>
  <si>
    <t>Đức châu</t>
  </si>
  <si>
    <t>Lê Văn Hồng</t>
  </si>
  <si>
    <t>Hệ thống tưới tiết kiệm</t>
  </si>
  <si>
    <t>Đạt hiệu quả kinh tế cao, cho thu nhập ổn định</t>
  </si>
  <si>
    <t>Đường giao thông nội đồng năm 2015, xã Thạch Châu, huyện Lộc Hà, tỉnh Hà Tĩnh</t>
  </si>
  <si>
    <t>Kênh mương nội đồng thôn An Lộc năm 2015, xã Thạch Châu, huyện Lộc Hà, tỉnh Hà Tĩnh</t>
  </si>
  <si>
    <t>Đường GTNT ngõ thôn năm 2015 xã Thạch Châu, huyện Lộc Hà, tỉnh Hà Tĩnh</t>
  </si>
  <si>
    <t>Mương nội đồng xã Thạch Châu năm 2016, huyện Lộc Hà, tỉnh Hà Tĩnh</t>
  </si>
  <si>
    <t>Mương thoát nước trục thôn Hồng Lạc - Thanh Tân, xã Thạch Châu, huyện Lộc Hà, tỉnh Hà Tĩnh</t>
  </si>
  <si>
    <t>Kênh mương thoát nước trục thôn xã Thạch Châu, huyện Lộc Hà, tỉnh Hà Tĩnh</t>
  </si>
  <si>
    <t>Đường giao thông nội đồng xã Thạch Châu năm 2016, huyện Lộc Hà, tỉnh Hà Tĩnh</t>
  </si>
  <si>
    <t>Kênh mương thoát nước trục thôn xã Thạch Châu năm 2016, huyện Lộc Hà, tỉnh Hà Tĩnh</t>
  </si>
  <si>
    <t>Đường giao thông nội đồng thôn Tiến Châu, Thanh Tân, Kim Ngọc xã Thạch Châu, huyện Lộc Hà, tỉnh Hà Tĩnh</t>
  </si>
  <si>
    <t>Đường trục xã và rãnh thoát nước trên đường liên xã xã Thạch Châu, huyện Lộc Hà, tỉnh Hà Tĩnh</t>
  </si>
  <si>
    <t>Đường GTNT thôn Bằng Châu, Đức Châu, An Lộc xã Thạch Châu, huyện Lộc Hà, tỉnh Hà Tĩnh</t>
  </si>
  <si>
    <t>Đường giao thông nội đồng xã Thạch Châu, huyện Lộc Hà, tỉnh Hà Tĩnh</t>
  </si>
  <si>
    <t>Đường GTNĐ thôn Minh Quý, Lâm Châu, Thanh Tân xã Thạch Châu, huyện Lộc Hà, tỉnh Hà Tĩnh</t>
  </si>
  <si>
    <t>Kênh mương thoát nước trục xã, (Mương thoát nước trục xã thôn Quang Phú), huyện Lộc Hà, tỉnh Hà Tĩnh</t>
  </si>
  <si>
    <t>Nhà đa chức năng trường tiểu học</t>
  </si>
  <si>
    <t>Kênh mương Thạch Mỹ Thạch Châu</t>
  </si>
  <si>
    <t>Kênh mương thoát nước trục thôn năm 2017 xã Thạch Châu</t>
  </si>
  <si>
    <t>ĐƯỜNG NỘI ĐỒNG THÔN LÂM CHÂU, XÃ THẠCH CHÂU</t>
  </si>
  <si>
    <t>Nhà học 2 tầng 6 phòng Trường mầm non xã Thạch Châu , huyện Lộc Hà, tỉnh Hà Tĩnh</t>
  </si>
  <si>
    <t>Hỗ trợ lãi suất</t>
  </si>
  <si>
    <t>Vườn mẫu</t>
  </si>
  <si>
    <t>Chính sách thương mại nông thôn</t>
  </si>
  <si>
    <t>Tuyên truyền, tập huấn</t>
  </si>
  <si>
    <t>Tuyên truyền, tập huấn, quản lý</t>
  </si>
  <si>
    <t>Xây dựng hàng rào, công trình chăn nuôi, vệ sinh</t>
  </si>
  <si>
    <t>Hỗ trợ điều chỉnh quy hoạch, lập đề án xây dựng NTM nâng cao, nông thôn mới kiểu mẫu.</t>
  </si>
  <si>
    <t xml:space="preserve">Nâng cấp mở rộng điểm để học tập và trải nghiệm NTM  </t>
  </si>
  <si>
    <t>khen thưởng khu dân cư mẫu</t>
  </si>
  <si>
    <t>Tuyên truyền, tập huấn, quản lý, quy hoạch…</t>
  </si>
  <si>
    <t>Xây dựng công trình vệ sinh hộ nghèo, vườn mẫu</t>
  </si>
  <si>
    <t>Xây dựng hàng rào, công trình chăn nuôi, vệ sinh, vườn mẫu</t>
  </si>
  <si>
    <t>khen thưởng sản phẩm ocop</t>
  </si>
  <si>
    <t>Xử lý nước thải sinh hoạt</t>
  </si>
  <si>
    <t>Mô hình ngôi nhà trí tuệ</t>
  </si>
  <si>
    <t>Đề án phát triển kinh tế nông thôn</t>
  </si>
  <si>
    <t>Cập nhật dữ liệu số NTM</t>
  </si>
  <si>
    <t>Hỗ trợ kinh phí tổ chức giải thể thao cấp xã</t>
  </si>
  <si>
    <t>15/3/2020</t>
  </si>
  <si>
    <t>Trước 2015</t>
  </si>
  <si>
    <t>164/164nhà ở kiên cố, 154/164 nhà ngăn nắp, 158/164 có hố xí tự hoại</t>
  </si>
  <si>
    <t>132/164 vườn TCSX, 15/30 vưới tưới tiết kiệm, 6 vườn mẫu</t>
  </si>
  <si>
    <t>3333/4033m trồng hàng rào xanh</t>
  </si>
  <si>
    <t>5500/5.800m đường đạt chuẩn theo quy định</t>
  </si>
  <si>
    <t>DT NVH 690m2, sân thể thao 3200m2</t>
  </si>
  <si>
    <t xml:space="preserve">164/164 hộ ĐK SD điện, hệ thống điện bảo đảm </t>
  </si>
  <si>
    <t>508/525người tham gia BHYT, có y tế viên theo quy định</t>
  </si>
  <si>
    <t>80/164 hộ có thu gom nước thải, chất hưu cơ tái Sd 90%</t>
  </si>
  <si>
    <t>KDC đất chuẩn ATTT, chi bộ xếp loại tốt trở lên</t>
  </si>
  <si>
    <t>100% chấp hành PL, các khoản thu được thực hiện theo quy định</t>
  </si>
  <si>
    <t>148/148nhà ở kiên cố, 140148 nhà ngăn nắp, 143/148 có hố xí tự hoại</t>
  </si>
  <si>
    <t>132/148 vườn TCSX, 15/35 vưới tưới tiết kiệm, 6 vườn mẫu</t>
  </si>
  <si>
    <t>4574/5200m trồng hàng rào xanh</t>
  </si>
  <si>
    <t>4231/4.431m đường đạt chuẩn theo quy định</t>
  </si>
  <si>
    <t>DT NVH 1.700m2, sân thể thao 3000m2</t>
  </si>
  <si>
    <t xml:space="preserve">148/148 hộ ĐK SD điện, hệ thống điện bảo đảm </t>
  </si>
  <si>
    <t>519/590người tham gia BHYT, có y tế viên theo quy định</t>
  </si>
  <si>
    <t>125/148 hộ có thu gom nước thải, chất hưu cơ tái Sd 90%</t>
  </si>
  <si>
    <t>124/124 nhà ở kiên cố, 120/124 nhà ngăn nắp, 122/124 có hố xí tự hoại</t>
  </si>
  <si>
    <t>141/170 vườn TCSX, 15/40 vưới tưới tiết kiệm, 5 vườn mẫu</t>
  </si>
  <si>
    <t>3051/3569m trồng hàng rào xanh</t>
  </si>
  <si>
    <t>3120/3.569m đường đạt chuẩn theo quy định</t>
  </si>
  <si>
    <t>DT NVH 1.151m2, sân thể thao 3000m2</t>
  </si>
  <si>
    <t xml:space="preserve">106/106 hộ ĐK SD điện, hệ thống điện bảo đảm </t>
  </si>
  <si>
    <t>412/429 người tham gia BHYT, có y tế viên theo quy định</t>
  </si>
  <si>
    <t>85/106 hộ có thu gom nước thải, chất hưu cơ tái Sd 90%</t>
  </si>
  <si>
    <t>170/170 nhà ở kiên cố, 170/170 nhà ngăn nắp, 164/170 có hố xí tự hoại</t>
  </si>
  <si>
    <t>120/124 vườn TCSX, 10/20 vưới tưới tiết kiệm, 5 vườn mẫu</t>
  </si>
  <si>
    <t>2605/2760m trồng hàng rào xanh</t>
  </si>
  <si>
    <t>2.150/2.350m đường đạt chuẩn theo quy định</t>
  </si>
  <si>
    <t>DT NVH 501m2, sân thể thao 2.350m2</t>
  </si>
  <si>
    <t xml:space="preserve">124/124 hộ ĐK SD điện, hệ thống điện bảo đảm </t>
  </si>
  <si>
    <t>412/455 người tham gia BHYT, có y tế viên theo quy định</t>
  </si>
  <si>
    <t>85/124 hộ có thu gom nước thải, chất hưu cơ tái Sd 90%</t>
  </si>
  <si>
    <t>153/153 nhà ở kiên cố, 135/153 nhà ngăn nắp, 147/153 có hố xí tự hoại</t>
  </si>
  <si>
    <t>125/153 vườn TCSX, 15/32 vưới tưới tiết kiệm, 5 vườn mẫu</t>
  </si>
  <si>
    <t>2318m/2436m trồng hàng rào xanh</t>
  </si>
  <si>
    <t>3.151/3.513m đường đạt chuẩn theo quy định</t>
  </si>
  <si>
    <t>DT NVH 1.500m2, sân thể thao 3.000m2,</t>
  </si>
  <si>
    <t xml:space="preserve">153/153 hộ ĐK SD điện, hệ thống điện bảo đảm </t>
  </si>
  <si>
    <t>490/5308 người tham gia BHYT, có y tế viên theo quy định</t>
  </si>
  <si>
    <t>135/153 hộ có thu gom nước thải, chất hưu cơ tái Sd 90%</t>
  </si>
  <si>
    <t>153/153 nhà ở kiên cố, 140/153 nhà ngăn nắp, 148/154 có hố xí tự hoại</t>
  </si>
  <si>
    <t>135/153 vườn TCSX, 10/25 vưới tưới tiết kiệm, 7 vườn mẫu</t>
  </si>
  <si>
    <t>2820/3020m trồng hàng rào xanh</t>
  </si>
  <si>
    <t>2850/3020m đường đạt chuẩn theo quy định</t>
  </si>
  <si>
    <t>DT NVH 1.440m2, sân thể thao 3200m2</t>
  </si>
  <si>
    <t>519/535 người tham gia BHYT, có y tế viên theo quy định</t>
  </si>
  <si>
    <t>127/153 hộ có thu gom nước thải, chất hưu cơ tái Sd 90%</t>
  </si>
  <si>
    <t>175/175 nhà ở kiên cố, 145/175 nhà ngăn nắp, 170/175 có hố xí tự hoại</t>
  </si>
  <si>
    <t>125/175 vườn TCSX, 16/32 vưới tưới tiết kiệm,  6 vườn mẫu</t>
  </si>
  <si>
    <t>3045/3367m trồng hàng rào xanh</t>
  </si>
  <si>
    <t>2.945/3.370m đường đạt chuẩn theo quy định</t>
  </si>
  <si>
    <t>DT NVH 796,7m2, sân thể thao rộng 3900m2</t>
  </si>
  <si>
    <t xml:space="preserve">175/175 hộ ĐK SD điện, hệ thống điện bảo đảm </t>
  </si>
  <si>
    <t>529/590 người tham gia BHYT, có y tế viên theo quy định</t>
  </si>
  <si>
    <t>125/175 hộ có thu gom nước thải, chất hưu cơ tái Sd 90%</t>
  </si>
  <si>
    <t>154/154 nhà ở kiên cố, 140/170 nhà ngăn nắp, 154/154 có hố xí tự hoại</t>
  </si>
  <si>
    <t>125/154 vườn TCSX, 4/8 vưới tưới tiết kiệm, 5 vườn mẫu</t>
  </si>
  <si>
    <t>2358m/2665 trồng hàng rào xanh</t>
  </si>
  <si>
    <t>2358/2665m đường đạt chuẩn theo quy định</t>
  </si>
  <si>
    <t>DT NVH 1.188m2, sân thể thao dùng chung sân xã</t>
  </si>
  <si>
    <t xml:space="preserve">154/154 hộ ĐK SD điện, hệ thống điện bảo đảm </t>
  </si>
  <si>
    <t>630/650 người tham gia BHYT, có y tế viên theo quy định</t>
  </si>
  <si>
    <t>125/154 hộ có thu gom nước thải, chất hưu cơ tái Sd 90%</t>
  </si>
  <si>
    <t>158/158 nhà ở kiên cố, 154/158 nhà ngăn nắp, 156/158 có hố xí tự hoại</t>
  </si>
  <si>
    <t>132/158 vườn TCSX, 15/27 vưới tưới tiết kiệm, 8 vườn mẫu</t>
  </si>
  <si>
    <t>1660m/1750 trồng hàng rào xanh</t>
  </si>
  <si>
    <t>1750/1750m đường đạt chuẩn theo quy định</t>
  </si>
  <si>
    <t>DT NVH 1.219m2, sân thể thao dùng chung sân xã</t>
  </si>
  <si>
    <t xml:space="preserve">170/170 hộ ĐK SD điện, hệ thống điện bảo đảm </t>
  </si>
  <si>
    <t>144/170 hộ có thu gom nước thải, chất hưu cơ tái Sd 90%</t>
  </si>
  <si>
    <t>106/106 nhà ở kiên cố, 101/106 nhà ngăn nắp, 102/106 có hố xí tự hoại</t>
  </si>
  <si>
    <t>88/106 vườn TCSX, 15/30 vưới tưới tiết kiệm, 7 vườn mẫu</t>
  </si>
  <si>
    <t>2318m/2436 trồng hàng rào xanh</t>
  </si>
  <si>
    <t>2136/2436m đường đạt chuẩn theo quy định</t>
  </si>
  <si>
    <t>DT NVH 1.647m2, sân thể thao 3.411m2,</t>
  </si>
  <si>
    <t xml:space="preserve">158/158 hộ ĐK SD điện, hệ thống điện bảo đảm </t>
  </si>
  <si>
    <t>608/628 người tham gia BHYT, có y tế viên theo quy định</t>
  </si>
  <si>
    <t>135/158 hộ có thu gom nước thải, chất hưu cơ tái Sd 90%</t>
  </si>
  <si>
    <t>177/177 nhà ở kiên cố, 160/177 nhà ngăn nắp, 170/177 có hố xí tự hoại</t>
  </si>
  <si>
    <t>125/177 vườn TCSX, 10/20 vưới tưới tiết kiệm, 5 vườn mẫu</t>
  </si>
  <si>
    <t>2.758m/2.843 trồng hàng rào xanh</t>
  </si>
  <si>
    <t>1370/1370m đường đạt chuẩn theo quy định</t>
  </si>
  <si>
    <t>DT NVH 995m2, sân thể thao 3.110m2,</t>
  </si>
  <si>
    <t xml:space="preserve">177/177 hộ ĐK SD điện, hệ thống điện bảo đảm </t>
  </si>
  <si>
    <t>597/650 người tham gia BHYT, có y tế viên theo quy định</t>
  </si>
  <si>
    <t>Thạch Châu</t>
  </si>
  <si>
    <t>XÃ THẠCH CHÂU</t>
  </si>
  <si>
    <t>Các khu dân cư cơ bản duy trì các tiêu chí NTM kiểu mẫu, tiếp tục bổ sung, hoàn thiện các tiêu chí</t>
  </si>
  <si>
    <t>ỦY BAN NHÂN DÂN</t>
  </si>
  <si>
    <t>09</t>
  </si>
  <si>
    <t>452/QĐ</t>
  </si>
  <si>
    <t>TỔNG HỢP KINH PHÍ THỰC HIỆN XÂY DỰNG KHU DÂN CƯ NTM KIỂU MẪU GIAI ĐOẠN 2015 - 2022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</si>
</sst>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2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Red]\-&quot;$&quot;#,##0"/>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_-&quot;Z$&quot;* #,##0_-;\-&quot;Z$&quot;* #,##0_-;_-&quot;Z$&quot;* &quot;-&quot;_-;_-@_-"/>
    <numFmt numFmtId="171" formatCode="##.##%"/>
    <numFmt numFmtId="172" formatCode="_(* #,##0_);_(* \(#,##0\);_(* &quot;-&quot;??_);_(@_)"/>
    <numFmt numFmtId="173" formatCode="00.000"/>
    <numFmt numFmtId="174" formatCode="&quot;?&quot;#,##0;&quot;?&quot;\-#,##0"/>
    <numFmt numFmtId="175" formatCode="_ * #,##0.00_ ;_ * \-#,##0.00_ ;_ * &quot;-&quot;??_ ;_ @_ "/>
    <numFmt numFmtId="176" formatCode="_ * #,##0_ ;_ * \-#,##0_ ;_ * &quot;-&quot;_ ;_ @_ "/>
    <numFmt numFmtId="177" formatCode="_-* #,##0\ _F_-;\-* #,##0\ _F_-;_-* &quot;-&quot;\ _F_-;_-@_-"/>
    <numFmt numFmtId="178" formatCode="_(&quot;Z$&quot;* #,##0_);_(&quot;Z$&quot;* \(#,##0\);_(&quot;Z$&quot;* &quot;-&quot;_);_(@_)"/>
    <numFmt numFmtId="179" formatCode="_-&quot;ñ&quot;* #,##0_-;\-&quot;ñ&quot;* #,##0_-;_-&quot;ñ&quot;* &quot;-&quot;_-;_-@_-"/>
    <numFmt numFmtId="180" formatCode="_-* #,##0.00\ _F_-;\-* #,##0.00\ _F_-;_-* &quot;-&quot;??\ _F_-;_-@_-"/>
    <numFmt numFmtId="181" formatCode="_-* #,##0.00\ _₫_-;\-* #,##0.00\ _₫_-;_-* &quot;-&quot;??\ _₫_-;_-@_-"/>
    <numFmt numFmtId="182" formatCode="_-* #,##0.00\ _ñ_-;\-* #,##0.00\ _ñ_-;_-* &quot;-&quot;??\ _ñ_-;_-@_-"/>
    <numFmt numFmtId="183" formatCode="_-* #,##0.00\ _V_N_D_-;\-* #,##0.00\ _V_N_D_-;_-* &quot;-&quot;??\ _V_N_D_-;_-@_-"/>
    <numFmt numFmtId="184" formatCode="_(&quot;$&quot;\ * #,##0_);_(&quot;$&quot;\ * \(#,##0\);_(&quot;$&quot;\ * &quot;-&quot;_);_(@_)"/>
    <numFmt numFmtId="185" formatCode="_-* #,##0\ &quot;F&quot;_-;\-* #,##0\ &quot;F&quot;_-;_-* &quot;-&quot;\ &quot;F&quot;_-;_-@_-"/>
    <numFmt numFmtId="186" formatCode="_-* #,##0\ &quot;ñ&quot;_-;\-* #,##0\ &quot;ñ&quot;_-;_-* &quot;-&quot;\ &quot;ñ&quot;_-;_-@_-"/>
    <numFmt numFmtId="187" formatCode="_-* #,##0\ _₫_-;\-* #,##0\ _₫_-;_-* &quot;-&quot;\ _₫_-;_-@_-"/>
    <numFmt numFmtId="188" formatCode="_-* #,##0\ _ñ_-;\-* #,##0\ _ñ_-;_-* &quot;-&quot;\ _ñ_-;_-@_-"/>
    <numFmt numFmtId="189" formatCode="_-* #,##0\ _V_N_D_-;\-* #,##0\ _V_N_D_-;_-* &quot;-&quot;\ _V_N_D_-;_-@_-"/>
    <numFmt numFmtId="190" formatCode="_ &quot;\&quot;* #,##0_ ;_ &quot;\&quot;* \-#,##0_ ;_ &quot;\&quot;* &quot;-&quot;_ ;_ @_ "/>
    <numFmt numFmtId="191" formatCode="###0"/>
    <numFmt numFmtId="192" formatCode="&quot;Z$&quot;#,##0_);[Red]\(&quot;Z$&quot;#,##0\)"/>
    <numFmt numFmtId="193" formatCode="_-&quot;Z$&quot;* #,##0.00_-;\-&quot;Z$&quot;* #,##0.00_-;_-&quot;Z$&quot;* &quot;-&quot;??_-;_-@_-"/>
    <numFmt numFmtId="194" formatCode="&quot;\&quot;#,##0.00;[Red]&quot;\&quot;\-#,##0.00"/>
    <numFmt numFmtId="195" formatCode="&quot;\&quot;#,##0;[Red]&quot;\&quot;\-#,##0"/>
    <numFmt numFmtId="196" formatCode="&quot;Z$&quot;#&quot;Z$&quot;##0_);\(&quot;Z$&quot;#&quot;Z$&quot;##0\)"/>
    <numFmt numFmtId="197" formatCode="_(&quot;RM&quot;* #,##0.00_);_(&quot;RM&quot;* \(#,##0.00\);_(&quot;RM&quot;* &quot;-&quot;??_);_(@_)"/>
    <numFmt numFmtId="198" formatCode="_(&quot;RM&quot;* #,##0_);_(&quot;RM&quot;* \(#,##0\);_(&quot;RM&quot;* &quot;-&quot;_);_(@_)"/>
    <numFmt numFmtId="199" formatCode="#,##0.000000"/>
    <numFmt numFmtId="200" formatCode="_ &quot;\&quot;* #,##0.00_ ;_ &quot;\&quot;* \-#,##0.00_ ;_ &quot;\&quot;* &quot;-&quot;??_ ;_ @_ "/>
    <numFmt numFmtId="201" formatCode="_(* #,##0.00000000_);_(* \(#,##0.00000000\);_(* &quot;-&quot;??_);_(@_)"/>
    <numFmt numFmtId="202" formatCode="0.000"/>
    <numFmt numFmtId="203" formatCode="\$#,##0_);\(\$#,##0\)"/>
    <numFmt numFmtId="204" formatCode="#,##0.0_);\(#,##0.0\)"/>
    <numFmt numFmtId="205" formatCode="0.0%"/>
    <numFmt numFmtId="206" formatCode="&quot;£&quot;#,##0.00"/>
    <numFmt numFmtId="207" formatCode="_ * #,##0.00_)&quot;£&quot;_ ;_ * \(#,##0.00\)&quot;£&quot;_ ;_ * &quot;-&quot;??_)&quot;£&quot;_ ;_ @_ "/>
    <numFmt numFmtId="208" formatCode="0.0%;\(0.0%\)"/>
    <numFmt numFmtId="209" formatCode="##,###.##"/>
    <numFmt numFmtId="210" formatCode="_-* #,##0.00\ &quot;F&quot;_-;\-* #,##0.00\ &quot;F&quot;_-;_-* &quot;-&quot;??\ &quot;F&quot;_-;_-@_-"/>
    <numFmt numFmtId="211" formatCode="#0.##"/>
    <numFmt numFmtId="212" formatCode="0.000_)"/>
    <numFmt numFmtId="213" formatCode="0.0"/>
    <numFmt numFmtId="214" formatCode="#,##0.00\ &quot;F&quot;;\-#,##0.00\ &quot;F&quot;"/>
    <numFmt numFmtId="215" formatCode="#,##0;\(#,##0\)"/>
    <numFmt numFmtId="216" formatCode="#,##0.000"/>
    <numFmt numFmtId="217" formatCode="_ &quot;R&quot;\ * #,##0_ ;_ &quot;R&quot;\ * \-#,##0_ ;_ &quot;R&quot;\ * &quot;-&quot;_ ;_ @_ "/>
    <numFmt numFmtId="218" formatCode="&quot;Z$&quot;#,##0.000_);[Red]\(&quot;Z$&quot;#,##0.00\)"/>
    <numFmt numFmtId="219" formatCode="##,##0%"/>
    <numFmt numFmtId="220" formatCode="#,###%"/>
    <numFmt numFmtId="221" formatCode="##.##"/>
    <numFmt numFmtId="222" formatCode="###,###"/>
    <numFmt numFmtId="223" formatCode="###.###"/>
    <numFmt numFmtId="224" formatCode="##,###.####"/>
    <numFmt numFmtId="225" formatCode="\$#,##0\ ;\(\$#,##0\)"/>
    <numFmt numFmtId="226" formatCode="\t0.00%"/>
    <numFmt numFmtId="227" formatCode="##,##0.##"/>
    <numFmt numFmtId="228" formatCode="_(\§\g\ #,##0_);_(\§\g\ \(#,##0\);_(\§\g\ &quot;-&quot;??_);_(@_)"/>
    <numFmt numFmtId="229" formatCode="_(\§\g\ #,##0_);_(\§\g\ \(#,##0\);_(\§\g\ &quot;-&quot;_);_(@_)"/>
    <numFmt numFmtId="230" formatCode="_-&quot;F&quot;\ * #,##0.0_-;_-&quot;F&quot;\ * #,##0.0\-;_-&quot;F&quot;\ * &quot;-&quot;??_-;_-@_-"/>
    <numFmt numFmtId="231" formatCode="&quot;\&quot;#,##0.00;[Red]&quot;\&quot;&quot;\&quot;&quot;\&quot;&quot;\&quot;&quot;\&quot;&quot;\&quot;\-#,##0.00"/>
    <numFmt numFmtId="232" formatCode="\t#\ ??/??"/>
    <numFmt numFmtId="233" formatCode="\§\g#,##0_);\(\§\g#,##0\)"/>
    <numFmt numFmtId="234" formatCode="_-[$€-2]* #,##0.00_-;\-[$€-2]* #,##0.00_-;_-[$€-2]* &quot;-&quot;??_-"/>
    <numFmt numFmtId="235" formatCode="_ * #,##0.00_)_d_ ;_ * \(#,##0.00\)_d_ ;_ * &quot;-&quot;??_)_d_ ;_ @_ "/>
    <numFmt numFmtId="236" formatCode="#,##0_);\-#,##0_)"/>
    <numFmt numFmtId="237" formatCode="#."/>
    <numFmt numFmtId="238" formatCode="&quot;Z$&quot;#,##0_);\(&quot;Z$&quot;#,##0\)"/>
    <numFmt numFmtId="239" formatCode="#,##0\ &quot;$&quot;_);\(#,##0\ &quot;$&quot;\)"/>
    <numFmt numFmtId="240" formatCode="mmm"/>
    <numFmt numFmtId="241" formatCode="_-&quot;£&quot;* #,##0_-;\-&quot;£&quot;* #,##0_-;_-&quot;£&quot;* &quot;-&quot;_-;_-@_-"/>
    <numFmt numFmtId="242" formatCode="#,###"/>
    <numFmt numFmtId="243" formatCode="&quot;R&quot;\ #,##0.00;&quot;R&quot;\ \-#,##0.00"/>
    <numFmt numFmtId="244" formatCode="&quot;D&quot;&quot;D&quot;&quot;D&quot;\ mmm\ &quot;D&quot;__"/>
    <numFmt numFmtId="245" formatCode="#,##0\ &quot;$&quot;_);[Red]\(#,##0\ &quot;$&quot;\)"/>
    <numFmt numFmtId="246" formatCode="&quot;$&quot;###,0&quot;.&quot;00_);[Red]\(&quot;$&quot;###,0&quot;.&quot;00\)"/>
    <numFmt numFmtId="247" formatCode="&quot;\&quot;#,##0;[Red]\-&quot;\&quot;#,##0"/>
    <numFmt numFmtId="248" formatCode="&quot;\&quot;#,##0.00;\-&quot;\&quot;#,##0.00"/>
    <numFmt numFmtId="249" formatCode="#,##0\ &quot;kr&quot;;\-#,##0\ &quot;kr&quot;"/>
    <numFmt numFmtId="250" formatCode="#,##0.00_);\-#,##0.00_)"/>
    <numFmt numFmtId="251" formatCode="#,##0.000_);\(#,##0.000\)"/>
    <numFmt numFmtId="252" formatCode="#"/>
    <numFmt numFmtId="253" formatCode="&quot;¡Ì&quot;#,##0;[Red]\-&quot;¡Ì&quot;#,##0"/>
    <numFmt numFmtId="254" formatCode="_(&quot;.&quot;* #&quot;Z$&quot;##0_);_(&quot;.&quot;* \(#&quot;Z$&quot;##0\);_(&quot;.&quot;* &quot;-&quot;_);_(@_)"/>
    <numFmt numFmtId="255" formatCode="&quot;Z$&quot;#&quot;Z$&quot;##0_);[Red]\(&quot;Z$&quot;#&quot;Z$&quot;##0\)"/>
    <numFmt numFmtId="256" formatCode="#,##0.00\ &quot;F&quot;;[Red]\-#,##0.00\ &quot;F&quot;"/>
    <numFmt numFmtId="257" formatCode="&quot;.&quot;#,##0.00_);[Red]\(&quot;.&quot;#,##0.00\)"/>
    <numFmt numFmtId="258" formatCode="#&quot;,&quot;##0.00\ &quot;F&quot;;[Red]\-#&quot;,&quot;##0.00\ &quot;F&quot;"/>
    <numFmt numFmtId="259" formatCode="&quot;£&quot;#,##0;[Red]\-&quot;£&quot;#,##0"/>
    <numFmt numFmtId="260" formatCode="_-* #,##0.0\ _F_-;\-* #,##0.0\ _F_-;_-* &quot;-&quot;??\ _F_-;_-@_-"/>
    <numFmt numFmtId="261" formatCode="_-&quot;£&quot;* #,##0.00_-;\-&quot;£&quot;* #,##0.00_-;_-&quot;£&quot;* &quot;-&quot;??_-;_-@_-"/>
    <numFmt numFmtId="262" formatCode="#,##0\ &quot;F&quot;;[Red]\-#,##0\ &quot;F&quot;"/>
    <numFmt numFmtId="263" formatCode="_(* #,##0.00_ \ \ *);_(* \(#,##0.00\);_(* &quot;-&quot;??_);_(@_)"/>
    <numFmt numFmtId="264" formatCode="0.00000000000E+00;\?"/>
    <numFmt numFmtId="265" formatCode="#,##0\ &quot;FB&quot;;[Red]\-#,##0\ &quot;FB&quot;"/>
    <numFmt numFmtId="266" formatCode="#,##0.00\ \ \ \ "/>
    <numFmt numFmtId="267" formatCode="&quot;£&quot;#,##0;\-&quot;£&quot;#,##0"/>
    <numFmt numFmtId="268" formatCode="&quot;Rp&quot;#,##0.00_);[Red]\(&quot;Rp&quot;#,##0.00\)"/>
    <numFmt numFmtId="269" formatCode="_-* ###,0&quot;.&quot;00\ _F_B_-;\-* ###,0&quot;.&quot;00\ _F_B_-;_-* &quot;-&quot;??\ _F_B_-;_-@_-"/>
    <numFmt numFmtId="270" formatCode="&quot;\&quot;#,##0;&quot;\&quot;\-#,##0"/>
    <numFmt numFmtId="271" formatCode="#,##0.00\ \ "/>
    <numFmt numFmtId="272" formatCode="#,##0\ &quot;F&quot;;\-#,##0\ &quot;F&quot;"/>
    <numFmt numFmtId="273" formatCode="_-* #,##0\ _F_-;\-* #,##0\ _F_-;_-* &quot;-&quot;??\ _F_-;_-@_-"/>
    <numFmt numFmtId="274" formatCode="#,##0.0\½"/>
    <numFmt numFmtId="275" formatCode="_-* ###,0&quot;.&quot;00_-;\-* ###,0&quot;.&quot;00_-;_-* &quot;-&quot;??_-;_-@_-"/>
    <numFmt numFmtId="276" formatCode="0.000\ "/>
    <numFmt numFmtId="277" formatCode="#,##0\ &quot;Lt&quot;;[Red]\-#,##0\ &quot;Lt&quot;"/>
    <numFmt numFmtId="278" formatCode="&quot;\&quot;#,##0;&quot;\&quot;&quot;\&quot;&quot;\&quot;&quot;\&quot;&quot;\&quot;&quot;\&quot;&quot;\&quot;\-#,##0"/>
    <numFmt numFmtId="279" formatCode="_(&quot;Z$&quot;* #,##0.00_);_(&quot;Z$&quot;* \(#,##0.00\);_(&quot;Z$&quot;* &quot;-&quot;??_);_(@_)"/>
    <numFmt numFmtId="280" formatCode="_(* #,##0.0_);_(* \(#,##0.0\);_(* &quot;-&quot;??_);_(@_)"/>
  </numFmts>
  <fonts count="234">
    <font>
      <sz val="12"/>
      <color theme="1"/>
      <name val="Times New Roman"/>
      <family val="2"/>
    </font>
    <font>
      <sz val="12"/>
      <color theme="1"/>
      <name val="Times New Roman"/>
      <family val="2"/>
    </font>
    <font>
      <sz val="8"/>
      <color theme="1"/>
      <name val="Times New Roman"/>
      <family val="1"/>
    </font>
    <font>
      <sz val="8"/>
      <name val="Times New Roman"/>
      <family val="1"/>
    </font>
    <font>
      <sz val="12"/>
      <name val="Times New Roman"/>
      <family val="1"/>
    </font>
    <font>
      <sz val="12"/>
      <color theme="1"/>
      <name val="Times New Roman"/>
      <family val="1"/>
    </font>
    <font>
      <i/>
      <sz val="12"/>
      <color theme="1"/>
      <name val="Times New Roman"/>
      <family val="1"/>
    </font>
    <font>
      <b/>
      <sz val="12"/>
      <color theme="1"/>
      <name val="Times New Roman"/>
      <family val="1"/>
    </font>
    <font>
      <sz val="12"/>
      <name val="VNI-Times"/>
    </font>
    <font>
      <sz val="12"/>
      <name val=".VnTime"/>
      <family val="2"/>
    </font>
    <font>
      <sz val="10"/>
      <name val=".VnArial"/>
      <family val="2"/>
    </font>
    <font>
      <sz val="12"/>
      <name val="돋움체"/>
      <family val="3"/>
      <charset val="129"/>
    </font>
    <font>
      <b/>
      <sz val="10"/>
      <name val="SVNtimes new roman"/>
      <family val="2"/>
    </font>
    <font>
      <sz val="12"/>
      <name val="VNtimes new roman"/>
      <family val="2"/>
    </font>
    <font>
      <sz val="11"/>
      <name val="??"/>
      <family val="3"/>
    </font>
    <font>
      <sz val="10"/>
      <name val="AngsanaUPC"/>
      <family val="1"/>
    </font>
    <font>
      <sz val="10"/>
      <name val="Arial"/>
      <family val="2"/>
    </font>
    <font>
      <sz val="10"/>
      <name val="??"/>
      <family val="3"/>
      <charset val="129"/>
    </font>
    <font>
      <sz val="12"/>
      <name val="????"/>
      <family val="1"/>
      <charset val="136"/>
    </font>
    <font>
      <sz val="12"/>
      <name val="????"/>
      <charset val="136"/>
    </font>
    <font>
      <sz val="12"/>
      <name val="Courier"/>
      <family val="3"/>
    </font>
    <font>
      <sz val="12"/>
      <name val="|??¢¥¢¬¨Ï"/>
      <family val="1"/>
      <charset val="129"/>
    </font>
    <font>
      <sz val="14"/>
      <name val="뼻뮝"/>
      <family val="3"/>
      <charset val="129"/>
    </font>
    <font>
      <sz val="10"/>
      <name val="VNI-Times"/>
    </font>
    <font>
      <sz val="10"/>
      <name val="Helv"/>
      <family val="2"/>
    </font>
    <font>
      <sz val="10"/>
      <color indexed="8"/>
      <name val="Arial"/>
      <family val="2"/>
    </font>
    <font>
      <sz val="10"/>
      <name val=".VnTime"/>
      <family val="2"/>
    </font>
    <font>
      <sz val="10"/>
      <name val="MS Sans Serif"/>
      <family val="2"/>
    </font>
    <font>
      <sz val="12"/>
      <name val="???"/>
    </font>
    <font>
      <sz val="12"/>
      <name val=".VnArial"/>
      <family val="2"/>
    </font>
    <font>
      <sz val="9"/>
      <name val="Arial"/>
      <family val="2"/>
    </font>
    <font>
      <sz val="11"/>
      <name val="‚l‚r ‚oƒSƒVƒbƒN"/>
      <family val="3"/>
      <charset val="128"/>
    </font>
    <font>
      <sz val="12"/>
      <name val="바탕체"/>
      <family val="1"/>
      <charset val="129"/>
    </font>
    <font>
      <sz val="11"/>
      <name val="–¾’©"/>
      <family val="1"/>
      <charset val="128"/>
    </font>
    <font>
      <sz val="10"/>
      <name val="Times New Roman"/>
      <family val="1"/>
    </font>
    <font>
      <sz val="14"/>
      <name val="VNTime"/>
    </font>
    <font>
      <b/>
      <u/>
      <sz val="14"/>
      <color indexed="8"/>
      <name val=".VnBook-AntiquaH"/>
      <family val="2"/>
    </font>
    <font>
      <sz val="11"/>
      <name val=".VnTime"/>
      <family val="2"/>
    </font>
    <font>
      <b/>
      <u/>
      <sz val="10"/>
      <name val="VNI-Times"/>
    </font>
    <font>
      <b/>
      <sz val="10"/>
      <name val=".VnArial"/>
      <family val="2"/>
    </font>
    <font>
      <sz val="12"/>
      <name val="???"/>
      <family val="3"/>
    </font>
    <font>
      <sz val="12"/>
      <name val="바탕체"/>
      <family val="3"/>
    </font>
    <font>
      <sz val="11"/>
      <color indexed="10"/>
      <name val=".VnArial Narrow"/>
      <family val="2"/>
    </font>
    <font>
      <sz val="12"/>
      <name val=".VnArial Narrow"/>
      <family val="2"/>
    </font>
    <font>
      <sz val="10"/>
      <name val="VnTimes"/>
    </font>
    <font>
      <sz val="12"/>
      <color indexed="8"/>
      <name val="¹ÙÅÁÃ¼"/>
      <family val="1"/>
      <charset val="129"/>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1"/>
      <color indexed="9"/>
      <name val="Calibri"/>
      <family val="2"/>
    </font>
    <font>
      <sz val="13"/>
      <color indexed="9"/>
      <name val="Times New Roman"/>
      <family val="2"/>
    </font>
    <font>
      <sz val="11"/>
      <name val="VNtimes new roman"/>
      <family val="2"/>
    </font>
    <font>
      <sz val="12"/>
      <name val="¹UAAA¼"/>
      <family val="3"/>
      <charset val="129"/>
    </font>
    <font>
      <sz val="11"/>
      <name val="±¼¸²Ã¼"/>
      <family val="3"/>
      <charset val="129"/>
    </font>
    <font>
      <sz val="11"/>
      <name val="Arial"/>
      <family val="2"/>
    </font>
    <font>
      <sz val="12"/>
      <name val="¹ÙÅÁÃ¼"/>
      <charset val="129"/>
    </font>
    <font>
      <sz val="11"/>
      <color indexed="20"/>
      <name val="Calibri"/>
      <family val="2"/>
    </font>
    <font>
      <sz val="12"/>
      <name val="Tms Rmn"/>
    </font>
    <font>
      <sz val="11"/>
      <name val="µ¸¿ò"/>
      <charset val="129"/>
    </font>
    <font>
      <sz val="12"/>
      <name val="System"/>
      <family val="1"/>
      <charset val="129"/>
    </font>
    <font>
      <sz val="12"/>
      <name val="Helv"/>
      <family val="2"/>
    </font>
    <font>
      <sz val="10"/>
      <name val="±¼¸²A¼"/>
      <family val="3"/>
      <charset val="129"/>
    </font>
    <font>
      <sz val="12"/>
      <name val="¹ÙÅÁÃ¼"/>
      <family val="1"/>
      <charset val="129"/>
    </font>
    <font>
      <sz val="10"/>
      <name val="Arial"/>
      <family val="2"/>
      <charset val="163"/>
    </font>
    <font>
      <sz val="10"/>
      <name val="Helv"/>
    </font>
    <font>
      <b/>
      <sz val="11"/>
      <color indexed="52"/>
      <name val="Calibri"/>
      <family val="2"/>
    </font>
    <font>
      <b/>
      <sz val="10"/>
      <name val="Helv"/>
    </font>
    <font>
      <b/>
      <sz val="8"/>
      <color indexed="12"/>
      <name val="Arial"/>
      <family val="2"/>
    </font>
    <font>
      <sz val="8"/>
      <color indexed="8"/>
      <name val="Arial"/>
      <family val="2"/>
    </font>
    <font>
      <sz val="8"/>
      <name val="SVNtimes new roman"/>
      <family val="2"/>
    </font>
    <font>
      <b/>
      <sz val="11"/>
      <color indexed="9"/>
      <name val="Calibri"/>
      <family val="2"/>
    </font>
    <font>
      <sz val="10"/>
      <name val="VNI-Aptima"/>
    </font>
    <font>
      <sz val="11"/>
      <name val="Tms Rmn"/>
    </font>
    <font>
      <sz val="12"/>
      <name val="Times New Roman"/>
      <family val="1"/>
      <charset val="163"/>
    </font>
    <font>
      <b/>
      <sz val="13"/>
      <name val=".VnArial Narrow"/>
      <family val="2"/>
    </font>
    <font>
      <sz val="13"/>
      <name val=".VnTime"/>
      <family val="2"/>
    </font>
    <font>
      <sz val="10"/>
      <color indexed="8"/>
      <name val=".VnTime"/>
      <family val="2"/>
    </font>
    <font>
      <sz val="11"/>
      <color indexed="8"/>
      <name val="Calibri"/>
      <family val="2"/>
      <charset val="163"/>
    </font>
    <font>
      <sz val="11"/>
      <color indexed="8"/>
      <name val="Times New Roman"/>
      <family val="2"/>
    </font>
    <font>
      <sz val="14"/>
      <name val="Times New Roman"/>
      <family val="1"/>
    </font>
    <font>
      <sz val="14"/>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0"/>
      <name val="SVNtimes new roman"/>
      <family val="2"/>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sz val="10"/>
      <color indexed="8"/>
      <name val="MS Sans Serif"/>
      <family val="2"/>
    </font>
    <font>
      <sz val="10"/>
      <name val="Arial CE"/>
      <charset val="238"/>
    </font>
    <font>
      <i/>
      <sz val="10"/>
      <name val="Times New Roman"/>
      <family val="1"/>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sz val="12"/>
      <name val="??"/>
      <family val="1"/>
      <charset val="129"/>
    </font>
    <font>
      <sz val="12"/>
      <name val="±¼¸²Ã¼"/>
      <family val="3"/>
      <charset val="129"/>
    </font>
    <font>
      <sz val="10"/>
      <name val=" "/>
      <family val="1"/>
      <charset val="136"/>
    </font>
    <font>
      <sz val="11"/>
      <color indexed="62"/>
      <name val="Calibri"/>
      <family val="2"/>
    </font>
    <font>
      <sz val="10"/>
      <name val="VNI-Helve"/>
    </font>
    <font>
      <b/>
      <sz val="13"/>
      <color indexed="9"/>
      <name val="Times New Roman"/>
      <family val="2"/>
    </font>
    <font>
      <u/>
      <sz val="12"/>
      <color indexed="12"/>
      <name val=".VnTime"/>
      <family val="2"/>
    </font>
    <font>
      <sz val="11"/>
      <color indexed="52"/>
      <name val="Calibri"/>
      <family val="2"/>
    </font>
    <font>
      <sz val="8"/>
      <name val="VNarial"/>
      <family val="2"/>
    </font>
    <font>
      <b/>
      <i/>
      <sz val="12"/>
      <name val=".VnAristote"/>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sz val="10"/>
      <name val="VNarial"/>
      <family val="2"/>
    </font>
    <font>
      <sz val="11"/>
      <color theme="1"/>
      <name val="Arial"/>
      <family val="2"/>
    </font>
    <font>
      <sz val="11"/>
      <color theme="1"/>
      <name val="Calibri"/>
      <family val="2"/>
      <scheme val="minor"/>
    </font>
    <font>
      <sz val="11"/>
      <color theme="1"/>
      <name val="Calibri"/>
      <family val="2"/>
    </font>
    <font>
      <sz val="14"/>
      <color theme="1"/>
      <name val="Times New Roman"/>
      <family val="2"/>
    </font>
    <font>
      <sz val="10"/>
      <color theme="1"/>
      <name val=".VnTime"/>
      <family val="2"/>
    </font>
    <font>
      <sz val="11"/>
      <name val="VNI-Aptima"/>
    </font>
    <font>
      <sz val="13"/>
      <color indexed="52"/>
      <name val="Times New Roman"/>
      <family val="2"/>
    </font>
    <font>
      <b/>
      <sz val="11"/>
      <name val="Arial"/>
      <family val="2"/>
    </font>
    <font>
      <b/>
      <sz val="11"/>
      <color indexed="63"/>
      <name val="Calibri"/>
      <family val="2"/>
    </font>
    <font>
      <sz val="11"/>
      <name val="VNswitzerlandCondLight"/>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
      <color indexed="12"/>
      <name val="Arial"/>
      <family val="2"/>
    </font>
    <font>
      <sz val="8"/>
      <name val="MS Sans Serif"/>
      <family val="2"/>
    </font>
    <font>
      <b/>
      <sz val="10.5"/>
      <name val=".VnAvantH"/>
      <family val="2"/>
    </font>
    <font>
      <sz val="10"/>
      <name val="3C_Times_T"/>
    </font>
    <font>
      <sz val="10"/>
      <name val="VNbook-Antiqua"/>
      <family val="2"/>
    </font>
    <font>
      <sz val="11"/>
      <color indexed="32"/>
      <name val="VNI-Times"/>
    </font>
    <font>
      <b/>
      <sz val="8"/>
      <color indexed="8"/>
      <name val="Helv"/>
    </font>
    <font>
      <sz val="10"/>
      <name val="Symbol"/>
      <family val="1"/>
      <charset val="2"/>
    </font>
    <font>
      <b/>
      <sz val="10"/>
      <name val="VNI-Univer"/>
    </font>
    <font>
      <b/>
      <sz val="12"/>
      <name val="VNI-Times"/>
    </font>
    <font>
      <sz val="11"/>
      <name val=".VnAvant"/>
      <family val="2"/>
    </font>
    <font>
      <b/>
      <sz val="13"/>
      <color indexed="8"/>
      <name val=".VnTimeH"/>
      <family val="2"/>
    </font>
    <font>
      <b/>
      <sz val="12"/>
      <name val=".VnTime"/>
      <family val="2"/>
    </font>
    <font>
      <sz val="10"/>
      <name val="VNTime"/>
    </font>
    <font>
      <b/>
      <u val="double"/>
      <sz val="12"/>
      <color indexed="12"/>
      <name val=".VnBahamasB"/>
      <family val="2"/>
    </font>
    <font>
      <b/>
      <sz val="18"/>
      <color indexed="56"/>
      <name val="Cambria"/>
      <family val="2"/>
    </font>
    <font>
      <b/>
      <i/>
      <u/>
      <sz val="12"/>
      <name val=".VnTimeH"/>
      <family val="2"/>
    </font>
    <font>
      <b/>
      <sz val="13"/>
      <color indexed="52"/>
      <name val="Times New Roman"/>
      <family val="2"/>
    </font>
    <font>
      <sz val="10"/>
      <name val=".VnArial Narrow"/>
      <family val="2"/>
    </font>
    <font>
      <sz val="9.5"/>
      <name val=".VnBlackH"/>
      <family val="2"/>
    </font>
    <font>
      <b/>
      <sz val="10"/>
      <name val=".VnBahamasBH"/>
      <family val="2"/>
    </font>
    <font>
      <b/>
      <sz val="11"/>
      <name val=".VnArialH"/>
      <family val="2"/>
    </font>
    <font>
      <b/>
      <sz val="13"/>
      <color indexed="8"/>
      <name val="Times New Roman"/>
      <family val="2"/>
    </font>
    <font>
      <b/>
      <sz val="10"/>
      <name val=".VnArialH"/>
      <family val="2"/>
    </font>
    <font>
      <sz val="13"/>
      <color indexed="17"/>
      <name val="Times New Roman"/>
      <family val="2"/>
    </font>
    <font>
      <b/>
      <sz val="11"/>
      <color indexed="8"/>
      <name val="Calibri"/>
      <family val="2"/>
    </font>
    <font>
      <sz val="13"/>
      <color indexed="60"/>
      <name val="Times New Roman"/>
      <family val="2"/>
    </font>
    <font>
      <sz val="13"/>
      <color indexed="10"/>
      <name val="Times New Roman"/>
      <family val="2"/>
    </font>
    <font>
      <i/>
      <sz val="13"/>
      <color indexed="23"/>
      <name val="Times New Roman"/>
      <family val="2"/>
    </font>
    <font>
      <sz val="8"/>
      <name val="VNI-Helve"/>
    </font>
    <font>
      <sz val="10"/>
      <name val="VNtimes new roman"/>
      <family val="2"/>
    </font>
    <font>
      <sz val="14"/>
      <name val="VnTime"/>
      <family val="2"/>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b/>
      <i/>
      <sz val="12"/>
      <name val=".VnTime"/>
      <family val="2"/>
    </font>
    <font>
      <sz val="13"/>
      <color indexed="20"/>
      <name val="Times New Roman"/>
      <family val="2"/>
    </font>
    <font>
      <sz val="14"/>
      <name val=".VnArial"/>
      <family val="2"/>
    </font>
    <font>
      <sz val="14"/>
      <name val="뼻뮝"/>
      <family val="3"/>
    </font>
    <font>
      <sz val="12"/>
      <name val="뼻뮝"/>
      <family val="3"/>
    </font>
    <font>
      <sz val="10"/>
      <name val="명조"/>
      <family val="3"/>
      <charset val="129"/>
    </font>
    <font>
      <u/>
      <sz val="12"/>
      <color indexed="12"/>
      <name val="Times New Roman"/>
      <family val="1"/>
    </font>
    <font>
      <u/>
      <sz val="12"/>
      <color indexed="36"/>
      <name val="Times New Roman"/>
      <family val="1"/>
    </font>
    <font>
      <b/>
      <sz val="10"/>
      <name val="Times New Roman"/>
      <family val="1"/>
    </font>
    <font>
      <b/>
      <sz val="12"/>
      <name val="Times New Roman"/>
      <family val="1"/>
    </font>
    <font>
      <sz val="9"/>
      <name val="Times New Roman"/>
      <family val="1"/>
    </font>
    <font>
      <b/>
      <sz val="9"/>
      <name val="Times New Roman"/>
      <family val="1"/>
    </font>
    <font>
      <i/>
      <sz val="12"/>
      <name val="Times New Roman"/>
      <family val="1"/>
    </font>
    <font>
      <b/>
      <sz val="10"/>
      <color theme="1"/>
      <name val="Times New Roman"/>
      <family val="2"/>
    </font>
    <font>
      <sz val="10"/>
      <color theme="1"/>
      <name val="Times New Roman"/>
      <family val="2"/>
    </font>
    <font>
      <sz val="10"/>
      <color theme="1"/>
      <name val="Times New Roman"/>
      <family val="1"/>
    </font>
    <font>
      <b/>
      <sz val="11"/>
      <color theme="1"/>
      <name val="Times New Roman"/>
      <family val="1"/>
    </font>
    <font>
      <i/>
      <sz val="14"/>
      <color theme="1"/>
      <name val="Times New Roman"/>
      <family val="1"/>
    </font>
    <font>
      <sz val="14"/>
      <color rgb="FF000000"/>
      <name val="Times New Roman"/>
      <family val="1"/>
    </font>
    <font>
      <b/>
      <sz val="13"/>
      <color theme="1"/>
      <name val="Times New Roman"/>
      <family val="1"/>
    </font>
    <font>
      <b/>
      <sz val="13"/>
      <name val="Times New Roman"/>
      <family val="1"/>
    </font>
    <font>
      <sz val="12"/>
      <color indexed="64"/>
      <name val="Times New Roman"/>
      <family val="1"/>
    </font>
    <font>
      <sz val="11"/>
      <color theme="1"/>
      <name val="Times New Roman"/>
      <family val="2"/>
    </font>
    <font>
      <i/>
      <sz val="13"/>
      <color theme="1"/>
      <name val="Times New Roman"/>
      <family val="1"/>
    </font>
    <font>
      <sz val="11"/>
      <color theme="1"/>
      <name val="Times New Roman"/>
      <family val="1"/>
    </font>
    <font>
      <sz val="11"/>
      <name val="Times New Roman"/>
      <family val="1"/>
    </font>
    <font>
      <b/>
      <i/>
      <sz val="12"/>
      <color theme="1"/>
      <name val="Times New Roman"/>
      <family val="1"/>
    </font>
    <font>
      <b/>
      <i/>
      <sz val="12"/>
      <name val="Times New Roman"/>
      <family val="1"/>
    </font>
    <font>
      <b/>
      <u/>
      <sz val="12"/>
      <name val="Times New Roman"/>
      <family val="1"/>
    </font>
    <font>
      <b/>
      <u/>
      <sz val="11"/>
      <name val="Times New Roman"/>
      <family val="1"/>
    </font>
    <font>
      <b/>
      <u/>
      <sz val="10"/>
      <name val="Times New Roman"/>
      <family val="1"/>
    </font>
    <font>
      <b/>
      <u/>
      <sz val="12"/>
      <color theme="1"/>
      <name val="Times New Roman"/>
      <family val="1"/>
    </font>
    <font>
      <sz val="11"/>
      <name val="Calibri"/>
      <family val="2"/>
      <scheme val="minor"/>
    </font>
    <font>
      <sz val="12"/>
      <name val="Times New Roman"/>
      <family val="2"/>
    </font>
    <font>
      <i/>
      <sz val="14"/>
      <name val="Times New Roman"/>
      <family val="1"/>
    </font>
  </fonts>
  <fills count="54">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indexed="9"/>
        <bgColor indexed="9"/>
      </patternFill>
    </fill>
  </fills>
  <borders count="4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diagonal/>
    </border>
  </borders>
  <cellStyleXfs count="1765">
    <xf numFmtId="0" fontId="0" fillId="0" borderId="0"/>
    <xf numFmtId="3" fontId="4" fillId="0" borderId="0">
      <alignment vertical="center" wrapText="1"/>
    </xf>
    <xf numFmtId="170" fontId="8" fillId="0" borderId="0" applyFont="0" applyFill="0" applyBorder="0" applyAlignment="0" applyProtection="0"/>
    <xf numFmtId="0" fontId="9" fillId="0" borderId="0" applyNumberFormat="0" applyFill="0" applyBorder="0" applyAlignment="0" applyProtection="0"/>
    <xf numFmtId="0" fontId="10" fillId="0" borderId="0"/>
    <xf numFmtId="3" fontId="11" fillId="0" borderId="3"/>
    <xf numFmtId="171" fontId="12" fillId="0" borderId="5">
      <alignment horizontal="center"/>
      <protection hidden="1"/>
    </xf>
    <xf numFmtId="171" fontId="12" fillId="0" borderId="5">
      <alignment horizontal="center"/>
      <protection hidden="1"/>
    </xf>
    <xf numFmtId="172" fontId="13" fillId="0" borderId="6" applyFont="0" applyBorder="0"/>
    <xf numFmtId="173" fontId="14" fillId="0" borderId="0" applyFont="0" applyFill="0" applyBorder="0" applyAlignment="0" applyProtection="0"/>
    <xf numFmtId="0" fontId="15" fillId="0" borderId="0" applyFont="0" applyFill="0" applyBorder="0" applyAlignment="0" applyProtection="0"/>
    <xf numFmtId="174" fontId="14" fillId="0" borderId="0" applyFont="0" applyFill="0" applyBorder="0" applyAlignment="0" applyProtection="0"/>
    <xf numFmtId="0" fontId="16" fillId="0" borderId="0" applyNumberFormat="0" applyFill="0" applyBorder="0" applyAlignment="0" applyProtection="0"/>
    <xf numFmtId="175" fontId="15" fillId="0" borderId="0" applyFont="0" applyFill="0" applyBorder="0" applyAlignment="0" applyProtection="0"/>
    <xf numFmtId="0" fontId="17" fillId="0" borderId="7"/>
    <xf numFmtId="176" fontId="15"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9" fillId="0" borderId="0" applyFont="0" applyFill="0" applyBorder="0" applyAlignment="0" applyProtection="0"/>
    <xf numFmtId="165" fontId="20" fillId="0" borderId="0" applyFont="0" applyFill="0" applyBorder="0" applyAlignment="0" applyProtection="0"/>
    <xf numFmtId="0" fontId="15"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1" fillId="0" borderId="0"/>
    <xf numFmtId="40" fontId="22" fillId="0" borderId="0" applyFont="0" applyFill="0" applyBorder="0" applyAlignment="0" applyProtection="0"/>
    <xf numFmtId="38" fontId="22" fillId="0" borderId="0" applyFont="0" applyFill="0" applyBorder="0" applyAlignment="0" applyProtection="0"/>
    <xf numFmtId="0" fontId="16" fillId="0" borderId="0" applyNumberFormat="0" applyFill="0" applyBorder="0" applyAlignment="0" applyProtection="0"/>
    <xf numFmtId="167" fontId="9" fillId="0" borderId="0" applyFont="0" applyFill="0" applyBorder="0" applyAlignment="0" applyProtection="0"/>
    <xf numFmtId="0" fontId="16" fillId="0" borderId="0"/>
    <xf numFmtId="42" fontId="23" fillId="0" borderId="0" applyFont="0" applyFill="0" applyBorder="0" applyAlignment="0" applyProtection="0"/>
    <xf numFmtId="0" fontId="24" fillId="0" borderId="0"/>
    <xf numFmtId="177" fontId="9" fillId="0" borderId="0" applyFont="0" applyFill="0" applyBorder="0" applyAlignment="0" applyProtection="0"/>
    <xf numFmtId="42" fontId="23" fillId="0" borderId="0" applyFont="0" applyFill="0" applyBorder="0" applyAlignment="0" applyProtection="0"/>
    <xf numFmtId="0" fontId="24" fillId="0" borderId="0"/>
    <xf numFmtId="42" fontId="23" fillId="0" borderId="0" applyFont="0" applyFill="0" applyBorder="0" applyAlignment="0" applyProtection="0"/>
    <xf numFmtId="0" fontId="25" fillId="0" borderId="0">
      <alignment vertical="top"/>
    </xf>
    <xf numFmtId="0" fontId="26" fillId="0" borderId="0" applyNumberFormat="0" applyFill="0" applyBorder="0" applyAlignment="0" applyProtection="0"/>
    <xf numFmtId="178"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0" fontId="24" fillId="0" borderId="0"/>
    <xf numFmtId="0" fontId="27" fillId="0" borderId="0" applyFont="0" applyFill="0" applyBorder="0" applyAlignment="0" applyProtection="0"/>
    <xf numFmtId="0" fontId="27" fillId="0" borderId="0" applyFont="0" applyFill="0" applyBorder="0" applyAlignment="0" applyProtection="0"/>
    <xf numFmtId="0" fontId="24" fillId="0" borderId="0"/>
    <xf numFmtId="0" fontId="26" fillId="0" borderId="0" applyNumberForma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0" fontId="24" fillId="0" borderId="0"/>
    <xf numFmtId="0" fontId="26" fillId="0" borderId="0" applyNumberFormat="0" applyFill="0" applyBorder="0" applyAlignment="0" applyProtection="0"/>
    <xf numFmtId="42" fontId="23" fillId="0" borderId="0" applyFont="0" applyFill="0" applyBorder="0" applyAlignment="0" applyProtection="0"/>
    <xf numFmtId="0" fontId="4" fillId="0" borderId="0"/>
    <xf numFmtId="0" fontId="27" fillId="0" borderId="0"/>
    <xf numFmtId="0" fontId="27" fillId="0" borderId="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4" fillId="0" borderId="0"/>
    <xf numFmtId="0" fontId="24" fillId="0" borderId="0"/>
    <xf numFmtId="0" fontId="24" fillId="0" borderId="0"/>
    <xf numFmtId="0" fontId="24" fillId="0" borderId="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69" fontId="8"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67" fontId="8" fillId="0" borderId="0" applyFont="0" applyFill="0" applyBorder="0" applyAlignment="0" applyProtection="0"/>
    <xf numFmtId="178" fontId="23" fillId="0" borderId="0" applyFont="0" applyFill="0" applyBorder="0" applyAlignment="0" applyProtection="0"/>
    <xf numFmtId="169"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66"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186" fontId="23" fillId="0" borderId="0" applyFont="0" applyFill="0" applyBorder="0" applyAlignment="0" applyProtection="0"/>
    <xf numFmtId="0" fontId="24" fillId="0" borderId="0"/>
    <xf numFmtId="0" fontId="24" fillId="0" borderId="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67"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0" fontId="24" fillId="0" borderId="0"/>
    <xf numFmtId="42" fontId="23" fillId="0" borderId="0" applyFont="0" applyFill="0" applyBorder="0" applyAlignment="0" applyProtection="0"/>
    <xf numFmtId="0" fontId="26" fillId="0" borderId="0" applyNumberFormat="0" applyFill="0" applyBorder="0" applyAlignment="0" applyProtection="0"/>
    <xf numFmtId="0" fontId="24" fillId="0" borderId="0"/>
    <xf numFmtId="0" fontId="24" fillId="0" borderId="0"/>
    <xf numFmtId="0" fontId="25" fillId="0" borderId="0">
      <alignment vertical="top"/>
    </xf>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190" fontId="28" fillId="0" borderId="0" applyFont="0" applyFill="0" applyBorder="0" applyAlignment="0" applyProtection="0"/>
    <xf numFmtId="191" fontId="29"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70" fontId="30"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94" fontId="31" fillId="0" borderId="0" applyFont="0" applyFill="0" applyBorder="0" applyAlignment="0" applyProtection="0"/>
    <xf numFmtId="195" fontId="31" fillId="0" borderId="0" applyFont="0" applyFill="0" applyBorder="0" applyAlignment="0" applyProtection="0"/>
    <xf numFmtId="196" fontId="26" fillId="0" borderId="0" applyFont="0" applyFill="0" applyBorder="0" applyAlignment="0" applyProtection="0"/>
    <xf numFmtId="195" fontId="32" fillId="0" borderId="0" applyFont="0" applyFill="0" applyBorder="0" applyAlignment="0" applyProtection="0"/>
    <xf numFmtId="0" fontId="33" fillId="0" borderId="0"/>
    <xf numFmtId="0" fontId="33" fillId="0" borderId="0"/>
    <xf numFmtId="0" fontId="33" fillId="0" borderId="0"/>
    <xf numFmtId="0" fontId="34" fillId="0" borderId="0"/>
    <xf numFmtId="1" fontId="35" fillId="0" borderId="3" applyBorder="0" applyAlignment="0">
      <alignment horizontal="center"/>
    </xf>
    <xf numFmtId="3" fontId="11" fillId="0" borderId="3"/>
    <xf numFmtId="3" fontId="11" fillId="0" borderId="3"/>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6" fillId="2" borderId="0"/>
    <xf numFmtId="0" fontId="27" fillId="0" borderId="1"/>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8" fillId="0" borderId="0" applyFont="0" applyFill="0" applyBorder="0" applyAlignment="0">
      <alignment horizontal="left"/>
    </xf>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7" fillId="2" borderId="0"/>
    <xf numFmtId="0" fontId="37" fillId="2" borderId="0"/>
    <xf numFmtId="0" fontId="9" fillId="2" borderId="0"/>
    <xf numFmtId="0" fontId="9" fillId="2" borderId="0"/>
    <xf numFmtId="0" fontId="36" fillId="2" borderId="0"/>
    <xf numFmtId="0" fontId="36"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8" fillId="0" borderId="0" applyFont="0" applyFill="0" applyBorder="0" applyAlignment="0">
      <alignment horizontal="left"/>
    </xf>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6" fillId="2" borderId="0"/>
    <xf numFmtId="0" fontId="37" fillId="2" borderId="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9" fontId="40" fillId="0" borderId="0" applyFont="0" applyFill="0" applyBorder="0" applyAlignment="0" applyProtection="0"/>
    <xf numFmtId="9" fontId="41" fillId="0" borderId="0" applyFont="0" applyFill="0" applyBorder="0" applyAlignment="0" applyProtection="0"/>
    <xf numFmtId="49" fontId="42" fillId="0" borderId="8" applyNumberFormat="0" applyFont="0" applyAlignment="0">
      <alignment horizontal="center" vertical="center"/>
    </xf>
    <xf numFmtId="0" fontId="43" fillId="0" borderId="9" applyNumberFormat="0" applyFont="0" applyFill="0" applyBorder="0" applyAlignment="0">
      <alignment horizontal="center"/>
    </xf>
    <xf numFmtId="0" fontId="24" fillId="0" borderId="0">
      <alignment wrapText="1"/>
    </xf>
    <xf numFmtId="0" fontId="44" fillId="0" borderId="0"/>
    <xf numFmtId="9" fontId="45" fillId="0" borderId="0" applyBorder="0" applyAlignment="0" applyProtection="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37" fillId="2" borderId="0"/>
    <xf numFmtId="0" fontId="37" fillId="2" borderId="0"/>
    <xf numFmtId="0" fontId="9" fillId="2" borderId="0"/>
    <xf numFmtId="0" fontId="9" fillId="2" borderId="0"/>
    <xf numFmtId="0" fontId="46" fillId="2" borderId="0"/>
    <xf numFmtId="0" fontId="46"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9" fillId="0" borderId="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37" fillId="2" borderId="0"/>
    <xf numFmtId="0" fontId="37" fillId="2" borderId="0"/>
    <xf numFmtId="0" fontId="9" fillId="2" borderId="0"/>
    <xf numFmtId="0" fontId="9" fillId="2" borderId="0"/>
    <xf numFmtId="0" fontId="49" fillId="2" borderId="0"/>
    <xf numFmtId="0" fontId="49"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9" fillId="0" borderId="0">
      <alignment wrapText="1"/>
    </xf>
    <xf numFmtId="0" fontId="9"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vertical="top"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vertical="top"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6"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2" borderId="0" applyNumberFormat="0" applyBorder="0" applyAlignment="0" applyProtection="0"/>
    <xf numFmtId="0" fontId="9" fillId="0" borderId="0"/>
    <xf numFmtId="0" fontId="26" fillId="0" borderId="0"/>
    <xf numFmtId="0" fontId="9" fillId="0" borderId="0"/>
    <xf numFmtId="0" fontId="9" fillId="0" borderId="0"/>
    <xf numFmtId="0" fontId="26" fillId="0" borderId="0"/>
    <xf numFmtId="0" fontId="26" fillId="0" borderId="0"/>
    <xf numFmtId="0" fontId="26" fillId="0" borderId="0"/>
    <xf numFmtId="0" fontId="26" fillId="0" borderId="0"/>
    <xf numFmtId="0" fontId="26" fillId="0" borderId="0"/>
    <xf numFmtId="0" fontId="51" fillId="13"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2" fillId="13"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3" fillId="0" borderId="0"/>
    <xf numFmtId="0" fontId="22" fillId="0" borderId="0" applyFont="0" applyFill="0" applyBorder="0" applyAlignment="0" applyProtection="0"/>
    <xf numFmtId="0" fontId="22" fillId="0" borderId="0" applyFont="0" applyFill="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20" borderId="0" applyNumberFormat="0" applyBorder="0" applyAlignment="0" applyProtection="0"/>
    <xf numFmtId="197" fontId="16" fillId="0" borderId="0" applyFont="0" applyFill="0" applyBorder="0" applyAlignment="0" applyProtection="0"/>
    <xf numFmtId="198" fontId="16" fillId="0" borderId="0" applyFont="0" applyFill="0" applyBorder="0" applyAlignment="0" applyProtection="0"/>
    <xf numFmtId="0" fontId="54" fillId="0" borderId="0" applyFont="0" applyFill="0" applyBorder="0" applyAlignment="0" applyProtection="0"/>
    <xf numFmtId="199" fontId="23" fillId="0" borderId="0" applyFont="0" applyFill="0" applyBorder="0" applyAlignment="0" applyProtection="0"/>
    <xf numFmtId="200" fontId="55" fillId="0" borderId="0" applyFont="0" applyFill="0" applyBorder="0" applyAlignment="0" applyProtection="0"/>
    <xf numFmtId="0" fontId="54" fillId="0" borderId="0" applyFont="0" applyFill="0" applyBorder="0" applyAlignment="0" applyProtection="0"/>
    <xf numFmtId="201" fontId="8" fillId="0" borderId="0" applyFont="0" applyFill="0" applyBorder="0" applyAlignment="0" applyProtection="0"/>
    <xf numFmtId="0" fontId="3" fillId="0" borderId="0">
      <alignment horizontal="center" wrapText="1"/>
      <protection locked="0"/>
    </xf>
    <xf numFmtId="0" fontId="56" fillId="0" borderId="0" applyFont="0"/>
    <xf numFmtId="41" fontId="16" fillId="0" borderId="0" applyFont="0" applyFill="0" applyBorder="0" applyAlignment="0" applyProtection="0"/>
    <xf numFmtId="0" fontId="54" fillId="0" borderId="0" applyFont="0" applyFill="0" applyBorder="0" applyAlignment="0" applyProtection="0"/>
    <xf numFmtId="176" fontId="57" fillId="0" borderId="0" applyFont="0" applyFill="0" applyBorder="0" applyAlignment="0" applyProtection="0"/>
    <xf numFmtId="175" fontId="55" fillId="0" borderId="0" applyFont="0" applyFill="0" applyBorder="0" applyAlignment="0" applyProtection="0"/>
    <xf numFmtId="0" fontId="54" fillId="0" borderId="0" applyFont="0" applyFill="0" applyBorder="0" applyAlignment="0" applyProtection="0"/>
    <xf numFmtId="175" fontId="57" fillId="0" borderId="0" applyFont="0" applyFill="0" applyBorder="0" applyAlignment="0" applyProtection="0"/>
    <xf numFmtId="166" fontId="8" fillId="0" borderId="0" applyFont="0" applyFill="0" applyBorder="0" applyAlignment="0" applyProtection="0"/>
    <xf numFmtId="0" fontId="58" fillId="4" borderId="0" applyNumberFormat="0" applyBorder="0" applyAlignment="0" applyProtection="0"/>
    <xf numFmtId="0" fontId="59" fillId="0" borderId="0" applyNumberFormat="0" applyFill="0" applyBorder="0" applyAlignment="0" applyProtection="0"/>
    <xf numFmtId="0" fontId="54" fillId="0" borderId="0"/>
    <xf numFmtId="0" fontId="55" fillId="0" borderId="0"/>
    <xf numFmtId="0" fontId="54" fillId="0" borderId="0"/>
    <xf numFmtId="0" fontId="60" fillId="0" borderId="0"/>
    <xf numFmtId="0" fontId="61" fillId="0" borderId="0"/>
    <xf numFmtId="37" fontId="62" fillId="0" borderId="0"/>
    <xf numFmtId="0" fontId="63" fillId="0" borderId="0"/>
    <xf numFmtId="0" fontId="64" fillId="0" borderId="0"/>
    <xf numFmtId="202" fontId="65" fillId="0" borderId="0" applyFill="0" applyBorder="0" applyAlignment="0"/>
    <xf numFmtId="202" fontId="16" fillId="0" borderId="0" applyFill="0" applyBorder="0" applyAlignment="0"/>
    <xf numFmtId="203" fontId="9" fillId="0" borderId="0" applyFill="0" applyBorder="0" applyAlignment="0"/>
    <xf numFmtId="204" fontId="66" fillId="0" borderId="0" applyFill="0" applyBorder="0" applyAlignment="0"/>
    <xf numFmtId="205" fontId="16" fillId="0" borderId="0" applyFill="0" applyBorder="0" applyAlignment="0"/>
    <xf numFmtId="206" fontId="16" fillId="0" borderId="0" applyFill="0" applyBorder="0" applyAlignment="0"/>
    <xf numFmtId="207" fontId="1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67" fillId="21" borderId="10" applyNumberFormat="0" applyAlignment="0" applyProtection="0"/>
    <xf numFmtId="0" fontId="68" fillId="0" borderId="0"/>
    <xf numFmtId="209" fontId="69" fillId="0" borderId="7" applyBorder="0"/>
    <xf numFmtId="209" fontId="70" fillId="0" borderId="1">
      <protection locked="0"/>
    </xf>
    <xf numFmtId="210" fontId="23" fillId="0" borderId="0" applyFont="0" applyFill="0" applyBorder="0" applyAlignment="0" applyProtection="0"/>
    <xf numFmtId="211" fontId="71" fillId="0" borderId="1"/>
    <xf numFmtId="0" fontId="72" fillId="22" borderId="11" applyNumberFormat="0" applyAlignment="0" applyProtection="0"/>
    <xf numFmtId="167" fontId="9" fillId="0" borderId="0" applyFont="0" applyFill="0" applyBorder="0" applyAlignment="0" applyProtection="0"/>
    <xf numFmtId="1" fontId="73" fillId="0" borderId="12" applyBorder="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41" fontId="9" fillId="0" borderId="0" applyFont="0" applyFill="0" applyBorder="0" applyAlignment="0" applyProtection="0"/>
    <xf numFmtId="41" fontId="9" fillId="0" borderId="0" applyFont="0" applyFill="0" applyBorder="0" applyAlignment="0" applyProtection="0"/>
    <xf numFmtId="187" fontId="4" fillId="0" borderId="0" applyFont="0" applyFill="0" applyBorder="0" applyAlignment="0" applyProtection="0"/>
    <xf numFmtId="41" fontId="26" fillId="0" borderId="0" applyFont="0" applyFill="0" applyBorder="0" applyAlignment="0" applyProtection="0"/>
    <xf numFmtId="187" fontId="75" fillId="0" borderId="0" applyFont="0" applyFill="0" applyBorder="0" applyAlignment="0" applyProtection="0"/>
    <xf numFmtId="168" fontId="66" fillId="0" borderId="0" applyFont="0" applyFill="0" applyBorder="0" applyAlignment="0" applyProtection="0"/>
    <xf numFmtId="49" fontId="76" fillId="0" borderId="13" applyNumberFormat="0" applyFont="0" applyFill="0" applyBorder="0" applyProtection="0">
      <alignment horizontal="center" vertical="center" wrapText="1"/>
    </xf>
    <xf numFmtId="0" fontId="9" fillId="0" borderId="14" applyNumberFormat="0" applyBorder="0">
      <alignment horizontal="center" vertical="center" wrapText="1"/>
    </xf>
    <xf numFmtId="213" fontId="77" fillId="0" borderId="1" applyFont="0" applyAlignment="0">
      <alignment horizontal="center"/>
    </xf>
    <xf numFmtId="43" fontId="16" fillId="0" borderId="0" applyFont="0" applyFill="0" applyBorder="0" applyAlignment="0" applyProtection="0"/>
    <xf numFmtId="174" fontId="4" fillId="0" borderId="0" applyFont="0" applyFill="0" applyBorder="0" applyAlignment="0" applyProtection="0"/>
    <xf numFmtId="174" fontId="75"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43" fontId="16"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81" fontId="4"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0" fontId="2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181" fontId="79"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47" fillId="0" borderId="0" applyFont="0" applyFill="0" applyBorder="0" applyAlignment="0" applyProtection="0"/>
    <xf numFmtId="43" fontId="47" fillId="0" borderId="0" applyFont="0" applyFill="0" applyBorder="0" applyAlignment="0" applyProtection="0"/>
    <xf numFmtId="43" fontId="9"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1"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2" fillId="0" borderId="0" applyFont="0" applyFill="0" applyBorder="0" applyAlignment="0" applyProtection="0"/>
    <xf numFmtId="0" fontId="80" fillId="0" borderId="0" applyFont="0" applyFill="0" applyBorder="0" applyAlignment="0" applyProtection="0"/>
    <xf numFmtId="0" fontId="16" fillId="0" borderId="0" applyFont="0" applyFill="0" applyBorder="0" applyAlignment="0" applyProtection="0"/>
    <xf numFmtId="0" fontId="80" fillId="0" borderId="0" applyFont="0" applyFill="0" applyBorder="0" applyAlignment="0" applyProtection="0"/>
    <xf numFmtId="215" fontId="34" fillId="0" borderId="0"/>
    <xf numFmtId="3" fontId="16" fillId="0" borderId="0" applyFont="0" applyFill="0" applyBorder="0" applyAlignment="0" applyProtection="0"/>
    <xf numFmtId="0" fontId="16" fillId="0" borderId="1" applyFont="0" applyFill="0" applyProtection="0">
      <alignment vertical="center"/>
    </xf>
    <xf numFmtId="216" fontId="16" fillId="0" borderId="1" applyFont="0" applyFill="0" applyBorder="0" applyProtection="0">
      <alignment vertical="center"/>
    </xf>
    <xf numFmtId="0" fontId="83" fillId="0" borderId="0" applyNumberFormat="0" applyAlignment="0">
      <alignment horizontal="left"/>
    </xf>
    <xf numFmtId="0" fontId="84" fillId="0" borderId="0" applyNumberFormat="0" applyAlignment="0"/>
    <xf numFmtId="180" fontId="53" fillId="0" borderId="0" applyFont="0" applyFill="0" applyBorder="0" applyAlignment="0" applyProtection="0"/>
    <xf numFmtId="217" fontId="77" fillId="0" borderId="0" applyFont="0" applyFill="0" applyBorder="0" applyAlignment="0" applyProtection="0"/>
    <xf numFmtId="218" fontId="29" fillId="0" borderId="0" applyFont="0" applyFill="0" applyBorder="0" applyAlignment="0" applyProtection="0"/>
    <xf numFmtId="169" fontId="30" fillId="0" borderId="0" applyFont="0" applyFill="0" applyBorder="0" applyAlignment="0" applyProtection="0"/>
    <xf numFmtId="219" fontId="85" fillId="0" borderId="0">
      <protection locked="0"/>
    </xf>
    <xf numFmtId="220" fontId="85" fillId="0" borderId="0">
      <protection locked="0"/>
    </xf>
    <xf numFmtId="221" fontId="86" fillId="0" borderId="15">
      <protection locked="0"/>
    </xf>
    <xf numFmtId="222" fontId="85" fillId="0" borderId="0">
      <protection locked="0"/>
    </xf>
    <xf numFmtId="223" fontId="85" fillId="0" borderId="0">
      <protection locked="0"/>
    </xf>
    <xf numFmtId="222" fontId="85" fillId="0" borderId="0" applyNumberFormat="0">
      <protection locked="0"/>
    </xf>
    <xf numFmtId="222" fontId="85" fillId="0" borderId="0">
      <protection locked="0"/>
    </xf>
    <xf numFmtId="209" fontId="87" fillId="0" borderId="5"/>
    <xf numFmtId="224" fontId="87" fillId="0" borderId="5"/>
    <xf numFmtId="204" fontId="66" fillId="0" borderId="0" applyFont="0" applyFill="0" applyBorder="0" applyAlignment="0" applyProtection="0"/>
    <xf numFmtId="44" fontId="16" fillId="0" borderId="0" applyFont="0" applyFill="0" applyBorder="0" applyAlignment="0" applyProtection="0"/>
    <xf numFmtId="225" fontId="16" fillId="0" borderId="0" applyFont="0" applyFill="0" applyBorder="0" applyAlignment="0" applyProtection="0"/>
    <xf numFmtId="226" fontId="16" fillId="0" borderId="0"/>
    <xf numFmtId="209" fontId="12" fillId="0" borderId="5">
      <alignment horizontal="center"/>
      <protection hidden="1"/>
    </xf>
    <xf numFmtId="227" fontId="88" fillId="0" borderId="5">
      <alignment horizontal="center"/>
      <protection hidden="1"/>
    </xf>
    <xf numFmtId="209" fontId="12" fillId="0" borderId="5">
      <alignment horizontal="center"/>
      <protection hidden="1"/>
    </xf>
    <xf numFmtId="202" fontId="9" fillId="0" borderId="16"/>
    <xf numFmtId="0" fontId="16" fillId="0" borderId="0" applyFont="0" applyFill="0" applyBorder="0" applyAlignment="0" applyProtection="0"/>
    <xf numFmtId="14" fontId="25" fillId="0" borderId="0" applyFill="0" applyBorder="0" applyAlignment="0"/>
    <xf numFmtId="0" fontId="89" fillId="21" borderId="17" applyNumberFormat="0" applyAlignment="0" applyProtection="0"/>
    <xf numFmtId="0" fontId="90" fillId="8" borderId="10" applyNumberFormat="0" applyAlignment="0" applyProtection="0"/>
    <xf numFmtId="0" fontId="91" fillId="0" borderId="18"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3" fillId="0" borderId="0" applyNumberFormat="0" applyFill="0" applyBorder="0" applyAlignment="0" applyProtection="0"/>
    <xf numFmtId="41" fontId="94" fillId="0" borderId="0" applyFont="0" applyFill="0" applyBorder="0" applyAlignment="0" applyProtection="0"/>
    <xf numFmtId="4" fontId="66" fillId="0" borderId="0" applyFont="0" applyFill="0" applyBorder="0" applyAlignment="0" applyProtection="0"/>
    <xf numFmtId="228" fontId="9" fillId="0" borderId="0"/>
    <xf numFmtId="229" fontId="26" fillId="0" borderId="3"/>
    <xf numFmtId="230" fontId="29" fillId="0" borderId="0" applyFont="0" applyFill="0" applyBorder="0" applyAlignment="0" applyProtection="0"/>
    <xf numFmtId="231" fontId="16" fillId="0" borderId="0" applyFont="0" applyFill="0" applyBorder="0" applyAlignment="0" applyProtection="0"/>
    <xf numFmtId="232" fontId="16" fillId="0" borderId="0"/>
    <xf numFmtId="233" fontId="26" fillId="0" borderId="0"/>
    <xf numFmtId="0" fontId="53" fillId="0" borderId="0">
      <alignment vertical="top" wrapText="1"/>
    </xf>
    <xf numFmtId="167" fontId="95" fillId="0" borderId="0" applyFont="0" applyFill="0" applyBorder="0" applyAlignment="0" applyProtection="0"/>
    <xf numFmtId="169"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87" fontId="95" fillId="0" borderId="0" applyFont="0" applyFill="0" applyBorder="0" applyAlignment="0" applyProtection="0"/>
    <xf numFmtId="187" fontId="95" fillId="0" borderId="0" applyFont="0" applyFill="0" applyBorder="0" applyAlignment="0" applyProtection="0"/>
    <xf numFmtId="41"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81" fontId="95" fillId="0" borderId="0" applyFont="0" applyFill="0" applyBorder="0" applyAlignment="0" applyProtection="0"/>
    <xf numFmtId="181" fontId="95" fillId="0" borderId="0" applyFont="0" applyFill="0" applyBorder="0" applyAlignment="0" applyProtection="0"/>
    <xf numFmtId="43" fontId="95" fillId="0" borderId="0" applyFont="0" applyFill="0" applyBorder="0" applyAlignment="0" applyProtection="0"/>
    <xf numFmtId="3" fontId="9" fillId="0" borderId="0" applyFont="0" applyBorder="0" applyAlignment="0"/>
    <xf numFmtId="0" fontId="96" fillId="0" borderId="0">
      <alignment vertical="center"/>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97" fillId="0" borderId="0" applyNumberFormat="0" applyAlignment="0">
      <alignment horizontal="left"/>
    </xf>
    <xf numFmtId="234" fontId="9" fillId="0" borderId="0" applyFont="0" applyFill="0" applyBorder="0" applyAlignment="0" applyProtection="0"/>
    <xf numFmtId="0" fontId="98" fillId="0" borderId="0" applyNumberFormat="0" applyFill="0" applyBorder="0" applyAlignment="0" applyProtection="0"/>
    <xf numFmtId="3" fontId="9" fillId="0" borderId="0" applyFont="0" applyBorder="0" applyAlignment="0"/>
    <xf numFmtId="2" fontId="16" fillId="0" borderId="0" applyFont="0" applyFill="0" applyBorder="0" applyAlignment="0" applyProtection="0"/>
    <xf numFmtId="0" fontId="99" fillId="0" borderId="0" applyNumberFormat="0" applyFill="0" applyBorder="0" applyAlignment="0" applyProtection="0"/>
    <xf numFmtId="0" fontId="100" fillId="0" borderId="0" applyNumberFormat="0" applyFill="0" applyBorder="0" applyProtection="0">
      <alignment vertical="center"/>
    </xf>
    <xf numFmtId="0" fontId="101" fillId="0" borderId="0" applyNumberFormat="0" applyFill="0" applyBorder="0" applyAlignment="0" applyProtection="0"/>
    <xf numFmtId="0" fontId="102" fillId="0" borderId="0" applyNumberFormat="0" applyFill="0" applyBorder="0" applyProtection="0">
      <alignment vertical="center"/>
    </xf>
    <xf numFmtId="0" fontId="103" fillId="0" borderId="0" applyNumberFormat="0" applyFill="0" applyBorder="0" applyAlignment="0" applyProtection="0"/>
    <xf numFmtId="0" fontId="104" fillId="0" borderId="0" applyNumberFormat="0" applyFill="0" applyBorder="0" applyAlignment="0" applyProtection="0"/>
    <xf numFmtId="235" fontId="105" fillId="0" borderId="21" applyNumberFormat="0" applyFill="0" applyBorder="0" applyAlignment="0" applyProtection="0"/>
    <xf numFmtId="0" fontId="106" fillId="0" borderId="0" applyNumberFormat="0" applyFill="0" applyBorder="0" applyAlignment="0" applyProtection="0"/>
    <xf numFmtId="0" fontId="16" fillId="23" borderId="22" applyNumberFormat="0" applyFont="0" applyAlignment="0" applyProtection="0"/>
    <xf numFmtId="0" fontId="107" fillId="5" borderId="0" applyNumberFormat="0" applyBorder="0" applyAlignment="0" applyProtection="0"/>
    <xf numFmtId="38" fontId="108" fillId="2" borderId="0" applyNumberFormat="0" applyBorder="0" applyAlignment="0" applyProtection="0"/>
    <xf numFmtId="236" fontId="109" fillId="2" borderId="0" applyBorder="0" applyProtection="0"/>
    <xf numFmtId="0" fontId="110" fillId="0" borderId="9" applyNumberFormat="0" applyFill="0" applyBorder="0" applyAlignment="0" applyProtection="0">
      <alignment horizontal="center" vertical="center"/>
    </xf>
    <xf numFmtId="0" fontId="111" fillId="0" borderId="0" applyNumberFormat="0" applyFont="0" applyBorder="0" applyAlignment="0">
      <alignment horizontal="left" vertical="center"/>
    </xf>
    <xf numFmtId="0" fontId="112" fillId="24" borderId="0"/>
    <xf numFmtId="0" fontId="113" fillId="0" borderId="0">
      <alignment horizontal="left"/>
    </xf>
    <xf numFmtId="0" fontId="114" fillId="0" borderId="23" applyNumberFormat="0" applyAlignment="0" applyProtection="0">
      <alignment horizontal="left" vertical="center"/>
    </xf>
    <xf numFmtId="0" fontId="114" fillId="0" borderId="24">
      <alignment horizontal="left" vertical="center"/>
    </xf>
    <xf numFmtId="0" fontId="115" fillId="0" borderId="0" applyNumberFormat="0" applyFill="0" applyBorder="0" applyAlignment="0" applyProtection="0"/>
    <xf numFmtId="0" fontId="116" fillId="0" borderId="18" applyNumberFormat="0" applyFill="0" applyAlignment="0" applyProtection="0"/>
    <xf numFmtId="0" fontId="114" fillId="0" borderId="0" applyNumberFormat="0" applyFill="0" applyBorder="0" applyAlignment="0" applyProtection="0"/>
    <xf numFmtId="0" fontId="117" fillId="0" borderId="19" applyNumberFormat="0" applyFill="0" applyAlignment="0" applyProtection="0"/>
    <xf numFmtId="0" fontId="118" fillId="0" borderId="20" applyNumberFormat="0" applyFill="0" applyAlignment="0" applyProtection="0"/>
    <xf numFmtId="0" fontId="118" fillId="0" borderId="0" applyNumberFormat="0" applyFill="0" applyBorder="0" applyAlignment="0" applyProtection="0"/>
    <xf numFmtId="237" fontId="119" fillId="0" borderId="0">
      <protection locked="0"/>
    </xf>
    <xf numFmtId="237" fontId="119" fillId="0" borderId="0">
      <protection locked="0"/>
    </xf>
    <xf numFmtId="0" fontId="120" fillId="0" borderId="25">
      <alignment horizontal="center"/>
    </xf>
    <xf numFmtId="0" fontId="120" fillId="0" borderId="0">
      <alignment horizontal="center"/>
    </xf>
    <xf numFmtId="238" fontId="121" fillId="25" borderId="3" applyNumberFormat="0" applyAlignment="0">
      <alignment horizontal="left" vertical="top"/>
    </xf>
    <xf numFmtId="49" fontId="122" fillId="0" borderId="3">
      <alignment vertical="center"/>
    </xf>
    <xf numFmtId="0" fontId="34" fillId="0" borderId="0"/>
    <xf numFmtId="167" fontId="9" fillId="0" borderId="0" applyFont="0" applyFill="0" applyBorder="0" applyAlignment="0" applyProtection="0"/>
    <xf numFmtId="38" fontId="27" fillId="0" borderId="0" applyFont="0" applyFill="0" applyBorder="0" applyAlignment="0" applyProtection="0"/>
    <xf numFmtId="188" fontId="23" fillId="0" borderId="0" applyFont="0" applyFill="0" applyBorder="0" applyAlignment="0" applyProtection="0"/>
    <xf numFmtId="0" fontId="123" fillId="0" borderId="0"/>
    <xf numFmtId="239" fontId="124"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0" fontId="108" fillId="26" borderId="3" applyNumberFormat="0" applyBorder="0" applyAlignment="0" applyProtection="0"/>
    <xf numFmtId="0" fontId="126" fillId="8" borderId="10" applyNumberFormat="0" applyAlignment="0" applyProtection="0"/>
    <xf numFmtId="240" fontId="23" fillId="27" borderId="0"/>
    <xf numFmtId="2" fontId="127" fillId="0" borderId="26" applyBorder="0"/>
    <xf numFmtId="167" fontId="9" fillId="0" borderId="0" applyFont="0" applyFill="0" applyBorder="0" applyAlignment="0" applyProtection="0"/>
    <xf numFmtId="0" fontId="9" fillId="0" borderId="0"/>
    <xf numFmtId="0" fontId="3" fillId="0" borderId="27">
      <alignment horizontal="centerContinuous"/>
    </xf>
    <xf numFmtId="0" fontId="128" fillId="22" borderId="11" applyNumberFormat="0" applyAlignment="0" applyProtection="0"/>
    <xf numFmtId="0" fontId="16" fillId="0" borderId="0"/>
    <xf numFmtId="0" fontId="129" fillId="0" borderId="0" applyNumberFormat="0" applyFill="0" applyBorder="0" applyAlignment="0" applyProtection="0">
      <alignment vertical="top"/>
      <protection locked="0"/>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30" fillId="0" borderId="28" applyNumberFormat="0" applyFill="0" applyAlignment="0" applyProtection="0"/>
    <xf numFmtId="240" fontId="23" fillId="28" borderId="0"/>
    <xf numFmtId="209" fontId="108" fillId="0" borderId="7" applyFont="0"/>
    <xf numFmtId="3" fontId="16" fillId="0" borderId="29"/>
    <xf numFmtId="0" fontId="29" fillId="0" borderId="0"/>
    <xf numFmtId="202" fontId="131" fillId="0" borderId="2" applyNumberFormat="0" applyFont="0" applyFill="0" applyBorder="0">
      <alignment horizontal="center"/>
    </xf>
    <xf numFmtId="38" fontId="27" fillId="0" borderId="0" applyFont="0" applyFill="0" applyBorder="0" applyAlignment="0" applyProtection="0"/>
    <xf numFmtId="4" fontId="66" fillId="0" borderId="0" applyFont="0" applyFill="0" applyBorder="0" applyAlignment="0" applyProtection="0"/>
    <xf numFmtId="38" fontId="27" fillId="0" borderId="0" applyFont="0" applyFill="0" applyBorder="0" applyAlignment="0" applyProtection="0"/>
    <xf numFmtId="40" fontId="27" fillId="0" borderId="0" applyFont="0" applyFill="0" applyBorder="0" applyAlignment="0" applyProtection="0"/>
    <xf numFmtId="167" fontId="16" fillId="0" borderId="0" applyFont="0" applyFill="0" applyBorder="0" applyAlignment="0" applyProtection="0"/>
    <xf numFmtId="169" fontId="16" fillId="0" borderId="0" applyFont="0" applyFill="0" applyBorder="0" applyAlignment="0" applyProtection="0"/>
    <xf numFmtId="0" fontId="132" fillId="0" borderId="1"/>
    <xf numFmtId="0" fontId="133" fillId="0" borderId="25"/>
    <xf numFmtId="241" fontId="65" fillId="0" borderId="2"/>
    <xf numFmtId="241" fontId="16" fillId="0" borderId="2"/>
    <xf numFmtId="242" fontId="134" fillId="0" borderId="2"/>
    <xf numFmtId="243" fontId="23" fillId="0" borderId="0" applyFont="0" applyFill="0" applyBorder="0" applyAlignment="0" applyProtection="0"/>
    <xf numFmtId="244" fontId="8" fillId="0" borderId="0" applyFont="0" applyFill="0" applyBorder="0" applyAlignment="0" applyProtection="0"/>
    <xf numFmtId="245" fontId="27" fillId="0" borderId="0" applyFont="0" applyFill="0" applyBorder="0" applyAlignment="0" applyProtection="0"/>
    <xf numFmtId="246" fontId="27" fillId="0" borderId="0" applyFont="0" applyFill="0" applyBorder="0" applyAlignment="0" applyProtection="0"/>
    <xf numFmtId="247" fontId="16" fillId="0" borderId="0" applyFont="0" applyFill="0" applyBorder="0" applyAlignment="0" applyProtection="0"/>
    <xf numFmtId="248" fontId="16" fillId="0" borderId="0" applyFont="0" applyFill="0" applyBorder="0" applyAlignment="0" applyProtection="0"/>
    <xf numFmtId="0" fontId="135" fillId="0" borderId="0" applyNumberFormat="0" applyFont="0" applyFill="0" applyAlignment="0"/>
    <xf numFmtId="0" fontId="87" fillId="0" borderId="0">
      <alignment horizontal="justify" vertical="top"/>
    </xf>
    <xf numFmtId="0" fontId="136" fillId="29" borderId="0" applyNumberFormat="0" applyBorder="0" applyAlignment="0" applyProtection="0"/>
    <xf numFmtId="0" fontId="77" fillId="0" borderId="3"/>
    <xf numFmtId="0" fontId="34" fillId="0" borderId="0"/>
    <xf numFmtId="0" fontId="77" fillId="0" borderId="3"/>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20" borderId="0" applyNumberFormat="0" applyBorder="0" applyAlignment="0" applyProtection="0"/>
    <xf numFmtId="37" fontId="137" fillId="0" borderId="0"/>
    <xf numFmtId="0" fontId="138" fillId="0" borderId="3" applyNumberFormat="0" applyFont="0" applyFill="0" applyBorder="0" applyAlignment="0">
      <alignment horizontal="center"/>
    </xf>
    <xf numFmtId="249" fontId="65" fillId="0" borderId="0"/>
    <xf numFmtId="249" fontId="16" fillId="0" borderId="0"/>
    <xf numFmtId="0" fontId="139" fillId="0" borderId="0"/>
    <xf numFmtId="0" fontId="32" fillId="0" borderId="0"/>
    <xf numFmtId="0" fontId="140" fillId="0" borderId="0"/>
    <xf numFmtId="3" fontId="4" fillId="0" borderId="0">
      <alignment vertical="center" wrapText="1"/>
    </xf>
    <xf numFmtId="0" fontId="140" fillId="0" borderId="0"/>
    <xf numFmtId="0" fontId="4" fillId="0" borderId="0"/>
    <xf numFmtId="0" fontId="26" fillId="0" borderId="0"/>
    <xf numFmtId="0" fontId="65" fillId="0" borderId="0"/>
    <xf numFmtId="0" fontId="65" fillId="0" borderId="0"/>
    <xf numFmtId="0" fontId="65" fillId="0" borderId="0"/>
    <xf numFmtId="0" fontId="65" fillId="0" borderId="0"/>
    <xf numFmtId="0" fontId="4" fillId="0" borderId="0"/>
    <xf numFmtId="0" fontId="4" fillId="0" borderId="0"/>
    <xf numFmtId="0" fontId="16" fillId="0" borderId="0"/>
    <xf numFmtId="0" fontId="141" fillId="0" borderId="0"/>
    <xf numFmtId="0" fontId="47" fillId="0" borderId="0"/>
    <xf numFmtId="0" fontId="9" fillId="0" borderId="0"/>
    <xf numFmtId="1" fontId="4" fillId="0" borderId="0">
      <alignment vertical="center" wrapText="1"/>
    </xf>
    <xf numFmtId="0" fontId="16" fillId="0" borderId="0"/>
    <xf numFmtId="0" fontId="142" fillId="0" borderId="0"/>
    <xf numFmtId="0" fontId="4" fillId="0" borderId="0"/>
    <xf numFmtId="0" fontId="26" fillId="0" borderId="0"/>
    <xf numFmtId="0" fontId="26" fillId="0" borderId="0"/>
    <xf numFmtId="0" fontId="26" fillId="0" borderId="0"/>
    <xf numFmtId="0" fontId="26" fillId="0" borderId="0"/>
    <xf numFmtId="0" fontId="142" fillId="0" borderId="0"/>
    <xf numFmtId="0" fontId="81" fillId="0" borderId="0"/>
    <xf numFmtId="0" fontId="143" fillId="0" borderId="0"/>
    <xf numFmtId="0" fontId="81" fillId="0" borderId="0"/>
    <xf numFmtId="0" fontId="81" fillId="0" borderId="0"/>
    <xf numFmtId="0" fontId="81" fillId="0" borderId="0"/>
    <xf numFmtId="0" fontId="141" fillId="0" borderId="0"/>
    <xf numFmtId="0" fontId="1" fillId="0" borderId="0"/>
    <xf numFmtId="0" fontId="16" fillId="0" borderId="0"/>
    <xf numFmtId="0" fontId="16" fillId="0" borderId="0"/>
    <xf numFmtId="0" fontId="141" fillId="0" borderId="0"/>
    <xf numFmtId="0" fontId="26" fillId="0" borderId="0"/>
    <xf numFmtId="0" fontId="4" fillId="0" borderId="0"/>
    <xf numFmtId="0" fontId="75" fillId="0" borderId="0"/>
    <xf numFmtId="0" fontId="141" fillId="0" borderId="0"/>
    <xf numFmtId="0" fontId="141" fillId="0" borderId="0"/>
    <xf numFmtId="0" fontId="141" fillId="0" borderId="0"/>
    <xf numFmtId="0" fontId="47" fillId="0" borderId="0"/>
    <xf numFmtId="0" fontId="65" fillId="0" borderId="0"/>
    <xf numFmtId="0" fontId="144" fillId="0" borderId="0"/>
    <xf numFmtId="0" fontId="9" fillId="0" borderId="0"/>
    <xf numFmtId="0" fontId="65" fillId="0" borderId="0"/>
    <xf numFmtId="0" fontId="78" fillId="0" borderId="0"/>
    <xf numFmtId="0" fontId="16" fillId="0" borderId="0"/>
    <xf numFmtId="0" fontId="81" fillId="0" borderId="0"/>
    <xf numFmtId="0" fontId="26" fillId="0" borderId="0"/>
    <xf numFmtId="0" fontId="37" fillId="0" borderId="0"/>
    <xf numFmtId="0" fontId="140" fillId="0" borderId="0"/>
    <xf numFmtId="0" fontId="140" fillId="0" borderId="0"/>
    <xf numFmtId="0" fontId="140" fillId="0" borderId="0"/>
    <xf numFmtId="0" fontId="47" fillId="0" borderId="0"/>
    <xf numFmtId="0" fontId="47" fillId="0" borderId="0"/>
    <xf numFmtId="0" fontId="47" fillId="0" borderId="0"/>
    <xf numFmtId="0" fontId="47" fillId="0" borderId="0"/>
    <xf numFmtId="0" fontId="9" fillId="0" borderId="0"/>
    <xf numFmtId="0" fontId="66" fillId="30" borderId="0"/>
    <xf numFmtId="0" fontId="95" fillId="0" borderId="0"/>
    <xf numFmtId="0" fontId="47" fillId="23" borderId="22" applyNumberFormat="0" applyFont="0" applyAlignment="0" applyProtection="0"/>
    <xf numFmtId="250" fontId="145" fillId="0" borderId="0" applyFont="0" applyFill="0" applyBorder="0" applyProtection="0">
      <alignment vertical="top" wrapText="1"/>
    </xf>
    <xf numFmtId="0" fontId="146" fillId="0" borderId="28" applyNumberFormat="0" applyFill="0" applyAlignment="0" applyProtection="0"/>
    <xf numFmtId="169" fontId="33" fillId="0" borderId="0" applyFont="0" applyFill="0" applyBorder="0" applyAlignment="0" applyProtection="0"/>
    <xf numFmtId="167" fontId="3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77" fillId="0" borderId="0" applyNumberFormat="0" applyFill="0" applyBorder="0" applyAlignment="0" applyProtection="0"/>
    <xf numFmtId="0" fontId="9" fillId="0" borderId="0" applyNumberFormat="0" applyFill="0" applyBorder="0" applyAlignment="0" applyProtection="0"/>
    <xf numFmtId="0" fontId="16" fillId="0" borderId="0" applyFont="0" applyFill="0" applyBorder="0" applyAlignment="0" applyProtection="0"/>
    <xf numFmtId="0" fontId="34" fillId="0" borderId="0"/>
    <xf numFmtId="0" fontId="148" fillId="21" borderId="17" applyNumberFormat="0" applyAlignment="0" applyProtection="0"/>
    <xf numFmtId="41" fontId="16" fillId="0" borderId="0" applyFont="0" applyFill="0" applyBorder="0" applyAlignment="0" applyProtection="0"/>
    <xf numFmtId="14" fontId="3" fillId="0" borderId="0">
      <alignment horizontal="center" wrapText="1"/>
      <protection locked="0"/>
    </xf>
    <xf numFmtId="207" fontId="16" fillId="0" borderId="0" applyFont="0" applyFill="0" applyBorder="0" applyAlignment="0" applyProtection="0"/>
    <xf numFmtId="251" fontId="16" fillId="0" borderId="0" applyFont="0" applyFill="0" applyBorder="0" applyAlignment="0" applyProtection="0"/>
    <xf numFmtId="10" fontId="65" fillId="0" borderId="0" applyFont="0" applyFill="0" applyBorder="0" applyAlignment="0" applyProtection="0"/>
    <xf numFmtId="10" fontId="16"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9" fontId="7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9" fillId="0" borderId="0" applyFont="0" applyFill="0" applyBorder="0" applyAlignment="0" applyProtection="0"/>
    <xf numFmtId="9" fontId="27" fillId="0" borderId="30" applyNumberFormat="0" applyBorder="0"/>
    <xf numFmtId="0" fontId="149" fillId="0" borderId="0"/>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50" fillId="0" borderId="0"/>
    <xf numFmtId="0" fontId="27" fillId="0" borderId="0" applyNumberFormat="0" applyFont="0" applyFill="0" applyBorder="0" applyAlignment="0" applyProtection="0">
      <alignment horizontal="left"/>
    </xf>
    <xf numFmtId="0" fontId="151" fillId="0" borderId="25">
      <alignment horizontal="center"/>
    </xf>
    <xf numFmtId="1" fontId="16" fillId="0" borderId="31" applyNumberFormat="0" applyFill="0" applyAlignment="0" applyProtection="0">
      <alignment horizontal="center" vertical="center"/>
    </xf>
    <xf numFmtId="0" fontId="152" fillId="31" borderId="0" applyNumberFormat="0" applyFont="0" applyBorder="0" applyAlignment="0">
      <alignment horizontal="center"/>
    </xf>
    <xf numFmtId="14" fontId="153" fillId="0" borderId="0" applyNumberFormat="0" applyFill="0" applyBorder="0" applyAlignment="0" applyProtection="0">
      <alignment horizontal="left"/>
    </xf>
    <xf numFmtId="0" fontId="24" fillId="0" borderId="1"/>
    <xf numFmtId="188" fontId="23" fillId="0" borderId="0" applyFont="0" applyFill="0" applyBorder="0" applyAlignment="0" applyProtection="0"/>
    <xf numFmtId="0" fontId="9" fillId="0" borderId="0" applyNumberFormat="0" applyFill="0" applyBorder="0" applyAlignment="0" applyProtection="0"/>
    <xf numFmtId="41" fontId="23" fillId="0" borderId="0" applyFont="0" applyFill="0" applyBorder="0" applyAlignment="0" applyProtection="0"/>
    <xf numFmtId="0" fontId="24" fillId="0" borderId="1" applyNumberFormat="0" applyFont="0" applyBorder="0" applyAlignment="0"/>
    <xf numFmtId="4" fontId="154" fillId="32" borderId="32" applyNumberFormat="0" applyProtection="0">
      <alignment vertical="center"/>
    </xf>
    <xf numFmtId="4" fontId="155" fillId="32" borderId="32" applyNumberFormat="0" applyProtection="0">
      <alignment vertical="center"/>
    </xf>
    <xf numFmtId="4" fontId="156" fillId="32" borderId="32" applyNumberFormat="0" applyProtection="0">
      <alignment horizontal="left" vertical="center" indent="1"/>
    </xf>
    <xf numFmtId="4" fontId="156" fillId="33" borderId="0" applyNumberFormat="0" applyProtection="0">
      <alignment horizontal="left" vertical="center" indent="1"/>
    </xf>
    <xf numFmtId="4" fontId="156" fillId="34" borderId="32" applyNumberFormat="0" applyProtection="0">
      <alignment horizontal="right" vertical="center"/>
    </xf>
    <xf numFmtId="4" fontId="156" fillId="35" borderId="32" applyNumberFormat="0" applyProtection="0">
      <alignment horizontal="right" vertical="center"/>
    </xf>
    <xf numFmtId="4" fontId="156" fillId="36" borderId="32" applyNumberFormat="0" applyProtection="0">
      <alignment horizontal="right" vertical="center"/>
    </xf>
    <xf numFmtId="4" fontId="156" fillId="37" borderId="32" applyNumberFormat="0" applyProtection="0">
      <alignment horizontal="right" vertical="center"/>
    </xf>
    <xf numFmtId="4" fontId="156" fillId="38" borderId="32" applyNumberFormat="0" applyProtection="0">
      <alignment horizontal="right" vertical="center"/>
    </xf>
    <xf numFmtId="4" fontId="156" fillId="39" borderId="32" applyNumberFormat="0" applyProtection="0">
      <alignment horizontal="right" vertical="center"/>
    </xf>
    <xf numFmtId="4" fontId="156" fillId="40" borderId="32" applyNumberFormat="0" applyProtection="0">
      <alignment horizontal="right" vertical="center"/>
    </xf>
    <xf numFmtId="4" fontId="156" fillId="41" borderId="32" applyNumberFormat="0" applyProtection="0">
      <alignment horizontal="right" vertical="center"/>
    </xf>
    <xf numFmtId="4" fontId="156" fillId="42" borderId="32" applyNumberFormat="0" applyProtection="0">
      <alignment horizontal="right" vertical="center"/>
    </xf>
    <xf numFmtId="4" fontId="154" fillId="43" borderId="33" applyNumberFormat="0" applyProtection="0">
      <alignment horizontal="left" vertical="center" indent="1"/>
    </xf>
    <xf numFmtId="4" fontId="154" fillId="44" borderId="0" applyNumberFormat="0" applyProtection="0">
      <alignment horizontal="left" vertical="center" indent="1"/>
    </xf>
    <xf numFmtId="4" fontId="154" fillId="33" borderId="0" applyNumberFormat="0" applyProtection="0">
      <alignment horizontal="left" vertical="center" indent="1"/>
    </xf>
    <xf numFmtId="4" fontId="156" fillId="44" borderId="32" applyNumberFormat="0" applyProtection="0">
      <alignment horizontal="right" vertical="center"/>
    </xf>
    <xf numFmtId="4" fontId="25" fillId="44" borderId="0" applyNumberFormat="0" applyProtection="0">
      <alignment horizontal="left" vertical="center" indent="1"/>
    </xf>
    <xf numFmtId="4" fontId="25" fillId="33" borderId="0" applyNumberFormat="0" applyProtection="0">
      <alignment horizontal="left" vertical="center" indent="1"/>
    </xf>
    <xf numFmtId="4" fontId="156" fillId="45" borderId="32" applyNumberFormat="0" applyProtection="0">
      <alignment vertical="center"/>
    </xf>
    <xf numFmtId="4" fontId="157" fillId="45" borderId="32" applyNumberFormat="0" applyProtection="0">
      <alignment vertical="center"/>
    </xf>
    <xf numFmtId="4" fontId="154" fillId="44" borderId="34" applyNumberFormat="0" applyProtection="0">
      <alignment horizontal="left" vertical="center" indent="1"/>
    </xf>
    <xf numFmtId="4" fontId="156" fillId="45" borderId="32" applyNumberFormat="0" applyProtection="0">
      <alignment horizontal="right" vertical="center"/>
    </xf>
    <xf numFmtId="4" fontId="157" fillId="45" borderId="32" applyNumberFormat="0" applyProtection="0">
      <alignment horizontal="right" vertical="center"/>
    </xf>
    <xf numFmtId="4" fontId="154" fillId="44" borderId="32" applyNumberFormat="0" applyProtection="0">
      <alignment horizontal="left" vertical="center" indent="1"/>
    </xf>
    <xf numFmtId="4" fontId="158" fillId="25" borderId="34" applyNumberFormat="0" applyProtection="0">
      <alignment horizontal="left" vertical="center" indent="1"/>
    </xf>
    <xf numFmtId="4" fontId="159" fillId="45" borderId="32" applyNumberFormat="0" applyProtection="0">
      <alignment horizontal="right" vertical="center"/>
    </xf>
    <xf numFmtId="0" fontId="4" fillId="0" borderId="0">
      <alignment vertical="center"/>
    </xf>
    <xf numFmtId="252" fontId="160" fillId="0" borderId="0" applyFont="0" applyFill="0" applyBorder="0" applyAlignment="0" applyProtection="0"/>
    <xf numFmtId="0" fontId="152" fillId="1" borderId="24" applyNumberFormat="0" applyFont="0" applyAlignment="0">
      <alignment horizontal="center"/>
    </xf>
    <xf numFmtId="0" fontId="161" fillId="0" borderId="0" applyNumberFormat="0" applyFill="0" applyBorder="0" applyAlignment="0" applyProtection="0">
      <alignment vertical="top"/>
      <protection locked="0"/>
    </xf>
    <xf numFmtId="3" fontId="8" fillId="0" borderId="0"/>
    <xf numFmtId="0" fontId="162" fillId="0" borderId="0" applyNumberFormat="0" applyFill="0" applyBorder="0" applyAlignment="0">
      <alignment horizontal="center"/>
    </xf>
    <xf numFmtId="0" fontId="16" fillId="0" borderId="0"/>
    <xf numFmtId="172" fontId="163" fillId="0" borderId="0" applyNumberFormat="0" applyBorder="0" applyAlignment="0">
      <alignment horizontal="centerContinuous"/>
    </xf>
    <xf numFmtId="0" fontId="9" fillId="0" borderId="31">
      <alignment horizontal="center"/>
    </xf>
    <xf numFmtId="0" fontId="24" fillId="0" borderId="0"/>
    <xf numFmtId="2" fontId="16" fillId="0" borderId="0" applyFont="0" applyFill="0" applyBorder="0" applyAlignment="0" applyProtection="0"/>
    <xf numFmtId="0" fontId="114" fillId="0" borderId="24">
      <alignment horizontal="left" vertical="center"/>
    </xf>
    <xf numFmtId="0" fontId="114" fillId="0" borderId="23" applyNumberFormat="0" applyAlignment="0" applyProtection="0">
      <alignment horizontal="left" vertical="center"/>
    </xf>
    <xf numFmtId="0" fontId="114" fillId="0" borderId="0" applyNumberFormat="0" applyFill="0" applyBorder="0" applyAlignment="0" applyProtection="0"/>
    <xf numFmtId="0" fontId="115" fillId="0" borderId="0" applyNumberFormat="0" applyFill="0" applyBorder="0" applyAlignment="0" applyProtection="0"/>
    <xf numFmtId="172" fontId="10" fillId="0" borderId="0" applyFont="0" applyFill="0" applyBorder="0" applyAlignment="0" applyProtection="0"/>
    <xf numFmtId="0" fontId="37" fillId="0" borderId="0"/>
    <xf numFmtId="0" fontId="164" fillId="0" borderId="0"/>
    <xf numFmtId="0" fontId="77" fillId="0" borderId="0"/>
    <xf numFmtId="0" fontId="77" fillId="0" borderId="0"/>
    <xf numFmtId="0" fontId="135" fillId="0" borderId="0" applyNumberFormat="0" applyFont="0" applyFill="0" applyAlignment="0"/>
    <xf numFmtId="189"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0" fontId="77" fillId="0" borderId="0"/>
    <xf numFmtId="17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0" fontId="135" fillId="0" borderId="0" applyNumberFormat="0" applyFont="0" applyFill="0" applyAlignment="0"/>
    <xf numFmtId="42" fontId="23" fillId="0" borderId="0" applyFont="0" applyFill="0" applyBorder="0" applyAlignment="0" applyProtection="0"/>
    <xf numFmtId="42"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189" fontId="23" fillId="0" borderId="0" applyFont="0" applyFill="0" applyBorder="0" applyAlignment="0" applyProtection="0"/>
    <xf numFmtId="3" fontId="16" fillId="0" borderId="0" applyFont="0" applyFill="0" applyBorder="0" applyAlignment="0" applyProtection="0"/>
    <xf numFmtId="225" fontId="16" fillId="0" borderId="0" applyFont="0" applyFill="0" applyBorder="0" applyAlignment="0" applyProtection="0"/>
    <xf numFmtId="254" fontId="26" fillId="0" borderId="0" applyFont="0" applyFill="0" applyBorder="0" applyAlignment="0" applyProtection="0"/>
    <xf numFmtId="255" fontId="26" fillId="0" borderId="0" applyFont="0" applyFill="0" applyBorder="0" applyAlignment="0" applyProtection="0"/>
    <xf numFmtId="0" fontId="16" fillId="0" borderId="0" applyFont="0" applyFill="0" applyBorder="0" applyAlignment="0" applyProtection="0"/>
    <xf numFmtId="14" fontId="165" fillId="0" borderId="0"/>
    <xf numFmtId="0" fontId="166" fillId="0" borderId="0"/>
    <xf numFmtId="0" fontId="133" fillId="0" borderId="0"/>
    <xf numFmtId="40" fontId="167" fillId="0" borderId="0" applyBorder="0">
      <alignment horizontal="right"/>
    </xf>
    <xf numFmtId="0" fontId="168" fillId="0" borderId="0"/>
    <xf numFmtId="256" fontId="77" fillId="0" borderId="26">
      <alignment horizontal="right" vertical="center"/>
    </xf>
    <xf numFmtId="256" fontId="77" fillId="0" borderId="26">
      <alignment horizontal="right" vertical="center"/>
    </xf>
    <xf numFmtId="257" fontId="82" fillId="0" borderId="26">
      <alignment horizontal="right" vertical="center"/>
    </xf>
    <xf numFmtId="258"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60" fontId="9" fillId="0" borderId="26">
      <alignment horizontal="right" vertical="center"/>
    </xf>
    <xf numFmtId="214" fontId="77" fillId="0" borderId="26">
      <alignment horizontal="right" vertical="center"/>
    </xf>
    <xf numFmtId="256" fontId="77" fillId="0" borderId="26">
      <alignment horizontal="right" vertical="center"/>
    </xf>
    <xf numFmtId="261" fontId="26" fillId="0" borderId="26">
      <alignment horizontal="right" vertical="center"/>
    </xf>
    <xf numFmtId="257" fontId="82"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62" fontId="9" fillId="0" borderId="26">
      <alignment horizontal="right" vertical="center"/>
    </xf>
    <xf numFmtId="262" fontId="9" fillId="0" borderId="26">
      <alignment horizontal="right" vertical="center"/>
    </xf>
    <xf numFmtId="261" fontId="26" fillId="0" borderId="26">
      <alignment horizontal="right" vertical="center"/>
    </xf>
    <xf numFmtId="259" fontId="82" fillId="0" borderId="26">
      <alignment horizontal="right" vertical="center"/>
    </xf>
    <xf numFmtId="259" fontId="82" fillId="0" borderId="26">
      <alignment horizontal="right" vertical="center"/>
    </xf>
    <xf numFmtId="263" fontId="9" fillId="0" borderId="26">
      <alignment horizontal="right" vertical="center"/>
    </xf>
    <xf numFmtId="257" fontId="82" fillId="0" borderId="26">
      <alignment horizontal="right" vertical="center"/>
    </xf>
    <xf numFmtId="256" fontId="77" fillId="0" borderId="26">
      <alignment horizontal="right"/>
    </xf>
    <xf numFmtId="264" fontId="10" fillId="0" borderId="26">
      <alignment horizontal="right" vertical="center"/>
    </xf>
    <xf numFmtId="265" fontId="82" fillId="0" borderId="26">
      <alignment horizontal="right" vertical="center"/>
    </xf>
    <xf numFmtId="265" fontId="82" fillId="0" borderId="26">
      <alignment horizontal="right" vertical="center"/>
    </xf>
    <xf numFmtId="257" fontId="82" fillId="0" borderId="26">
      <alignment horizontal="right" vertical="center"/>
    </xf>
    <xf numFmtId="266" fontId="169" fillId="2" borderId="36" applyFont="0" applyFill="0" applyBorder="0"/>
    <xf numFmtId="256" fontId="77" fillId="0" borderId="26">
      <alignment horizontal="right" vertical="center"/>
    </xf>
    <xf numFmtId="256" fontId="77" fillId="0" borderId="26">
      <alignment horizontal="right" vertical="center"/>
    </xf>
    <xf numFmtId="258" fontId="77"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9" fontId="82" fillId="0" borderId="26">
      <alignment horizontal="right" vertical="center"/>
    </xf>
    <xf numFmtId="259" fontId="82" fillId="0" borderId="26">
      <alignment horizontal="right" vertical="center"/>
    </xf>
    <xf numFmtId="260" fontId="9" fillId="0" borderId="26">
      <alignment horizontal="right" vertical="center"/>
    </xf>
    <xf numFmtId="266" fontId="169" fillId="2" borderId="36" applyFont="0" applyFill="0" applyBorder="0"/>
    <xf numFmtId="260" fontId="9"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7" fontId="82" fillId="0" borderId="26">
      <alignment horizontal="right" vertical="center"/>
    </xf>
    <xf numFmtId="256" fontId="77" fillId="0" borderId="26">
      <alignment horizontal="right" vertical="center"/>
    </xf>
    <xf numFmtId="268" fontId="9" fillId="0" borderId="26">
      <alignment horizontal="right" vertical="center"/>
    </xf>
    <xf numFmtId="268" fontId="9" fillId="0" borderId="26">
      <alignment horizontal="right" vertical="center"/>
    </xf>
    <xf numFmtId="257" fontId="82" fillId="0" borderId="26">
      <alignment horizontal="right" vertical="center"/>
    </xf>
    <xf numFmtId="260" fontId="9" fillId="0" borderId="26">
      <alignment horizontal="right" vertical="center"/>
    </xf>
    <xf numFmtId="259" fontId="82" fillId="0" borderId="26">
      <alignment horizontal="right" vertical="center"/>
    </xf>
    <xf numFmtId="256" fontId="77" fillId="0" borderId="26">
      <alignment horizontal="right" vertical="center"/>
    </xf>
    <xf numFmtId="260" fontId="9" fillId="0" borderId="26">
      <alignment horizontal="right" vertical="center"/>
    </xf>
    <xf numFmtId="259" fontId="82" fillId="0" borderId="26">
      <alignment horizontal="right" vertical="center"/>
    </xf>
    <xf numFmtId="260" fontId="9" fillId="0" borderId="26">
      <alignment horizontal="right" vertical="center"/>
    </xf>
    <xf numFmtId="259" fontId="82" fillId="0" borderId="26">
      <alignment horizontal="right" vertical="center"/>
    </xf>
    <xf numFmtId="269" fontId="82" fillId="0" borderId="26">
      <alignment horizontal="right" vertical="center"/>
    </xf>
    <xf numFmtId="269" fontId="82"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56" fontId="77" fillId="0" borderId="26">
      <alignment horizontal="right" vertical="center"/>
    </xf>
    <xf numFmtId="256" fontId="77" fillId="0" borderId="26">
      <alignment horizontal="right" vertical="center"/>
    </xf>
    <xf numFmtId="270" fontId="9" fillId="0" borderId="26">
      <alignment horizontal="right" vertical="center"/>
    </xf>
    <xf numFmtId="270" fontId="9"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9" fontId="82" fillId="0" borderId="26">
      <alignment horizontal="right" vertical="center"/>
    </xf>
    <xf numFmtId="257" fontId="82" fillId="0" borderId="26">
      <alignment horizontal="right" vertical="center"/>
    </xf>
    <xf numFmtId="260" fontId="9" fillId="0" borderId="26">
      <alignment horizontal="right" vertical="center"/>
    </xf>
    <xf numFmtId="269" fontId="82" fillId="0" borderId="26">
      <alignment horizontal="right" vertical="center"/>
    </xf>
    <xf numFmtId="257" fontId="82" fillId="0" borderId="26">
      <alignment horizontal="right" vertical="center"/>
    </xf>
    <xf numFmtId="257" fontId="82" fillId="0" borderId="26">
      <alignment horizontal="right" vertical="center"/>
    </xf>
    <xf numFmtId="258" fontId="77" fillId="0" borderId="26">
      <alignment horizontal="right" vertical="center"/>
    </xf>
    <xf numFmtId="256" fontId="77"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xf>
    <xf numFmtId="260" fontId="9" fillId="0" borderId="26">
      <alignment horizontal="right" vertical="center"/>
    </xf>
    <xf numFmtId="268" fontId="9" fillId="0" borderId="26">
      <alignment horizontal="right" vertical="center"/>
    </xf>
    <xf numFmtId="269" fontId="82"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xf>
    <xf numFmtId="261" fontId="26"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57" fontId="82" fillId="0" borderId="26">
      <alignment horizontal="right" vertical="center"/>
    </xf>
    <xf numFmtId="260" fontId="9" fillId="0" borderId="26">
      <alignment horizontal="right" vertical="center"/>
    </xf>
    <xf numFmtId="272" fontId="9" fillId="0" borderId="26">
      <alignment horizontal="right" vertical="center"/>
    </xf>
    <xf numFmtId="261" fontId="26" fillId="0" borderId="26">
      <alignment horizontal="right" vertical="center"/>
    </xf>
    <xf numFmtId="261" fontId="26"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71" fontId="23" fillId="0" borderId="26">
      <alignment horizontal="right" vertical="center"/>
    </xf>
    <xf numFmtId="271" fontId="23" fillId="0" borderId="26">
      <alignment horizontal="right" vertical="center"/>
    </xf>
    <xf numFmtId="256" fontId="77" fillId="0" borderId="26">
      <alignment horizontal="right" vertical="center"/>
    </xf>
    <xf numFmtId="209" fontId="87" fillId="0" borderId="5">
      <protection hidden="1"/>
    </xf>
    <xf numFmtId="49" fontId="25" fillId="0" borderId="0" applyFill="0" applyBorder="0" applyAlignment="0"/>
    <xf numFmtId="0" fontId="16" fillId="0" borderId="0" applyFill="0" applyBorder="0" applyAlignment="0"/>
    <xf numFmtId="262" fontId="16" fillId="0" borderId="0" applyFill="0" applyBorder="0" applyAlignment="0"/>
    <xf numFmtId="185" fontId="77" fillId="0" borderId="26">
      <alignment horizontal="center"/>
    </xf>
    <xf numFmtId="0" fontId="77" fillId="0" borderId="0" applyNumberFormat="0" applyFill="0" applyBorder="0" applyAlignment="0" applyProtection="0"/>
    <xf numFmtId="273" fontId="170" fillId="0" borderId="0" applyNumberFormat="0" applyFont="0" applyFill="0" applyBorder="0" applyAlignment="0">
      <alignment horizontal="centerContinuous"/>
    </xf>
    <xf numFmtId="0" fontId="29" fillId="0" borderId="0">
      <alignment vertical="center" wrapText="1"/>
      <protection locked="0"/>
    </xf>
    <xf numFmtId="0" fontId="77" fillId="0" borderId="0" applyNumberFormat="0" applyFill="0" applyBorder="0" applyAlignment="0" applyProtection="0"/>
    <xf numFmtId="0" fontId="9" fillId="0" borderId="37"/>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6"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0" fillId="0" borderId="1" applyNumberFormat="0" applyBorder="0" applyAlignment="0"/>
    <xf numFmtId="0" fontId="171" fillId="0" borderId="2" applyNumberFormat="0" applyBorder="0" applyAlignment="0">
      <alignment horizontal="center"/>
    </xf>
    <xf numFmtId="3" fontId="172" fillId="0" borderId="9" applyNumberFormat="0" applyBorder="0" applyAlignment="0"/>
    <xf numFmtId="49" fontId="173" fillId="0" borderId="0">
      <alignment horizontal="justify" vertical="center" wrapText="1"/>
    </xf>
    <xf numFmtId="274" fontId="174" fillId="0" borderId="13">
      <alignment horizontal="right"/>
    </xf>
    <xf numFmtId="0" fontId="175" fillId="0" borderId="1">
      <alignment horizontal="center" vertical="center" wrapText="1"/>
    </xf>
    <xf numFmtId="0" fontId="176" fillId="0" borderId="0" applyNumberFormat="0" applyFill="0" applyBorder="0" applyAlignment="0" applyProtection="0"/>
    <xf numFmtId="0" fontId="177" fillId="0" borderId="0">
      <alignment horizontal="center"/>
    </xf>
    <xf numFmtId="40" fontId="109" fillId="0" borderId="0"/>
    <xf numFmtId="0" fontId="178" fillId="21" borderId="10" applyNumberFormat="0" applyAlignment="0" applyProtection="0"/>
    <xf numFmtId="0" fontId="179" fillId="0" borderId="1"/>
    <xf numFmtId="3" fontId="180" fillId="0" borderId="0" applyNumberFormat="0" applyFill="0" applyBorder="0" applyAlignment="0" applyProtection="0">
      <alignment horizontal="center" wrapText="1"/>
    </xf>
    <xf numFmtId="0" fontId="181" fillId="0" borderId="13" applyBorder="0" applyAlignment="0">
      <alignment horizontal="center" vertical="center"/>
    </xf>
    <xf numFmtId="0" fontId="182" fillId="0" borderId="0" applyNumberFormat="0" applyFill="0" applyBorder="0" applyAlignment="0" applyProtection="0">
      <alignment horizontal="centerContinuous"/>
    </xf>
    <xf numFmtId="0" fontId="110" fillId="0" borderId="38" applyNumberFormat="0" applyFill="0" applyBorder="0" applyAlignment="0" applyProtection="0">
      <alignment horizontal="center" vertical="center" wrapText="1"/>
    </xf>
    <xf numFmtId="0" fontId="176" fillId="0" borderId="0" applyNumberFormat="0" applyFill="0" applyBorder="0" applyAlignment="0" applyProtection="0"/>
    <xf numFmtId="0" fontId="183" fillId="0" borderId="39" applyNumberFormat="0" applyFill="0" applyAlignment="0" applyProtection="0"/>
    <xf numFmtId="0" fontId="184" fillId="0" borderId="40" applyNumberFormat="0" applyBorder="0" applyAlignment="0">
      <alignment vertical="center"/>
    </xf>
    <xf numFmtId="0" fontId="185" fillId="5" borderId="0" applyNumberFormat="0" applyBorder="0" applyAlignment="0" applyProtection="0"/>
    <xf numFmtId="0" fontId="16" fillId="0" borderId="35" applyNumberFormat="0" applyFont="0" applyFill="0" applyAlignment="0" applyProtection="0"/>
    <xf numFmtId="0" fontId="186" fillId="0" borderId="39" applyNumberFormat="0" applyFill="0" applyAlignment="0" applyProtection="0"/>
    <xf numFmtId="0" fontId="187" fillId="29" borderId="0" applyNumberFormat="0" applyBorder="0" applyAlignment="0" applyProtection="0"/>
    <xf numFmtId="167" fontId="16" fillId="0" borderId="0" applyFont="0" applyFill="0" applyBorder="0" applyAlignment="0" applyProtection="0"/>
    <xf numFmtId="275" fontId="16" fillId="0" borderId="0" applyFont="0" applyFill="0" applyBorder="0" applyAlignment="0" applyProtection="0"/>
    <xf numFmtId="164" fontId="124" fillId="0" borderId="0" applyFont="0" applyFill="0" applyBorder="0" applyAlignment="0" applyProtection="0"/>
    <xf numFmtId="276" fontId="134" fillId="0" borderId="0" applyFont="0" applyFill="0" applyBorder="0" applyAlignment="0" applyProtection="0"/>
    <xf numFmtId="277" fontId="10" fillId="0" borderId="0" applyFon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14" fillId="0" borderId="29">
      <alignment horizontal="center"/>
    </xf>
    <xf numFmtId="262" fontId="77" fillId="0" borderId="0"/>
    <xf numFmtId="214" fontId="77" fillId="0" borderId="3"/>
    <xf numFmtId="0" fontId="190" fillId="0" borderId="0"/>
    <xf numFmtId="0" fontId="191" fillId="0" borderId="0"/>
    <xf numFmtId="3" fontId="77" fillId="0" borderId="0" applyNumberFormat="0" applyBorder="0" applyAlignment="0" applyProtection="0">
      <alignment horizontal="centerContinuous"/>
      <protection locked="0"/>
    </xf>
    <xf numFmtId="3" fontId="192" fillId="0" borderId="0">
      <protection locked="0"/>
    </xf>
    <xf numFmtId="0" fontId="191" fillId="0" borderId="0"/>
    <xf numFmtId="0" fontId="193" fillId="0" borderId="41" applyFill="0" applyBorder="0" applyAlignment="0">
      <alignment horizontal="center"/>
    </xf>
    <xf numFmtId="238" fontId="194" fillId="46" borderId="13">
      <alignment vertical="top"/>
    </xf>
    <xf numFmtId="0" fontId="173" fillId="47" borderId="3">
      <alignment horizontal="left" vertical="center"/>
    </xf>
    <xf numFmtId="192" fontId="195" fillId="48" borderId="13"/>
    <xf numFmtId="5" fontId="121" fillId="0" borderId="13">
      <alignment horizontal="left" vertical="top"/>
    </xf>
    <xf numFmtId="0" fontId="196" fillId="49" borderId="0">
      <alignment horizontal="left" vertical="center"/>
    </xf>
    <xf numFmtId="5" fontId="26" fillId="0" borderId="31">
      <alignment horizontal="left" vertical="top"/>
    </xf>
    <xf numFmtId="0" fontId="197" fillId="0" borderId="31">
      <alignment horizontal="left" vertical="center"/>
    </xf>
    <xf numFmtId="42" fontId="94" fillId="0" borderId="0" applyFont="0" applyFill="0" applyBorder="0" applyAlignment="0" applyProtection="0"/>
    <xf numFmtId="278" fontId="16" fillId="0" borderId="0" applyFont="0" applyFill="0" applyBorder="0" applyAlignment="0" applyProtection="0"/>
    <xf numFmtId="178" fontId="95" fillId="0" borderId="0" applyFont="0" applyFill="0" applyBorder="0" applyAlignment="0" applyProtection="0"/>
    <xf numFmtId="279" fontId="95" fillId="0" borderId="0" applyFont="0" applyFill="0" applyBorder="0" applyAlignment="0" applyProtection="0"/>
    <xf numFmtId="0" fontId="198" fillId="0" borderId="0" applyNumberFormat="0" applyFill="0" applyBorder="0" applyAlignment="0" applyProtection="0"/>
    <xf numFmtId="43" fontId="82" fillId="0" borderId="0" applyFont="0" applyFill="0" applyBorder="0" applyAlignment="0" applyProtection="0"/>
    <xf numFmtId="0" fontId="4" fillId="0" borderId="1">
      <alignment horizontal="center" vertical="center"/>
    </xf>
    <xf numFmtId="0" fontId="199" fillId="0" borderId="42" applyNumberFormat="0" applyFont="0" applyAlignment="0">
      <alignment horizontal="center"/>
    </xf>
    <xf numFmtId="0" fontId="200" fillId="4" borderId="0" applyNumberFormat="0" applyBorder="0" applyAlignment="0" applyProtection="0"/>
    <xf numFmtId="0" fontId="201" fillId="0" borderId="0" applyNumberFormat="0" applyFill="0" applyBorder="0" applyAlignment="0" applyProtection="0"/>
    <xf numFmtId="167" fontId="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lignment vertical="center"/>
    </xf>
    <xf numFmtId="40" fontId="202" fillId="0" borderId="0" applyFont="0" applyFill="0" applyBorder="0" applyAlignment="0" applyProtection="0"/>
    <xf numFmtId="38" fontId="202" fillId="0" borderId="0" applyFont="0" applyFill="0" applyBorder="0" applyAlignment="0" applyProtection="0"/>
    <xf numFmtId="0" fontId="202" fillId="0" borderId="0" applyFont="0" applyFill="0" applyBorder="0" applyAlignment="0" applyProtection="0"/>
    <xf numFmtId="0" fontId="202" fillId="0" borderId="0" applyFont="0" applyFill="0" applyBorder="0" applyAlignment="0" applyProtection="0"/>
    <xf numFmtId="9" fontId="41" fillId="0" borderId="0" applyFont="0" applyFill="0" applyBorder="0" applyAlignment="0" applyProtection="0"/>
    <xf numFmtId="0" fontId="203" fillId="0" borderId="0"/>
    <xf numFmtId="0" fontId="204" fillId="0" borderId="7"/>
    <xf numFmtId="175" fontId="11"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2" fillId="0" borderId="0" applyFont="0" applyFill="0" applyBorder="0" applyAlignment="0" applyProtection="0"/>
    <xf numFmtId="0" fontId="32" fillId="0" borderId="0" applyFont="0" applyFill="0" applyBorder="0" applyAlignment="0" applyProtection="0"/>
    <xf numFmtId="190" fontId="32" fillId="0" borderId="0" applyFont="0" applyFill="0" applyBorder="0" applyAlignment="0" applyProtection="0"/>
    <xf numFmtId="200" fontId="32" fillId="0" borderId="0" applyFont="0" applyFill="0" applyBorder="0" applyAlignment="0" applyProtection="0"/>
    <xf numFmtId="0" fontId="32" fillId="0" borderId="0"/>
    <xf numFmtId="0" fontId="32" fillId="0" borderId="0"/>
    <xf numFmtId="0" fontId="135" fillId="0" borderId="0"/>
    <xf numFmtId="167" fontId="30" fillId="0" borderId="0" applyFont="0" applyFill="0" applyBorder="0" applyAlignment="0" applyProtection="0"/>
    <xf numFmtId="169" fontId="30" fillId="0" borderId="0" applyFont="0" applyFill="0" applyBorder="0" applyAlignment="0" applyProtection="0"/>
    <xf numFmtId="43" fontId="26" fillId="0" borderId="0" applyFont="0" applyFill="0" applyBorder="0" applyAlignment="0" applyProtection="0"/>
    <xf numFmtId="41" fontId="16" fillId="0" borderId="0" applyFont="0" applyFill="0" applyBorder="0" applyAlignment="0" applyProtection="0"/>
    <xf numFmtId="0" fontId="16" fillId="0" borderId="0"/>
    <xf numFmtId="166" fontId="30" fillId="0" borderId="0" applyFont="0" applyFill="0" applyBorder="0" applyAlignment="0" applyProtection="0"/>
    <xf numFmtId="6" fontId="20" fillId="0" borderId="0" applyFont="0" applyFill="0" applyBorder="0" applyAlignment="0" applyProtection="0"/>
    <xf numFmtId="168" fontId="30" fillId="0" borderId="0" applyFont="0" applyFill="0" applyBorder="0" applyAlignment="0" applyProtection="0"/>
    <xf numFmtId="0" fontId="205" fillId="0" borderId="0" applyNumberFormat="0" applyFill="0" applyBorder="0" applyAlignment="0" applyProtection="0">
      <alignment vertical="top"/>
      <protection locked="0"/>
    </xf>
    <xf numFmtId="44" fontId="16" fillId="0" borderId="0" applyFont="0" applyFill="0" applyBorder="0" applyAlignment="0" applyProtection="0"/>
    <xf numFmtId="42" fontId="16" fillId="0" borderId="0" applyFont="0" applyFill="0" applyBorder="0" applyAlignment="0" applyProtection="0"/>
    <xf numFmtId="0" fontId="206" fillId="0" borderId="0" applyNumberFormat="0" applyFill="0" applyBorder="0" applyAlignment="0" applyProtection="0">
      <alignment vertical="top"/>
      <protection locked="0"/>
    </xf>
    <xf numFmtId="3" fontId="4" fillId="0" borderId="0">
      <alignment vertical="center" wrapText="1"/>
    </xf>
    <xf numFmtId="0" fontId="141" fillId="0" borderId="0"/>
    <xf numFmtId="43" fontId="141" fillId="0" borderId="0" applyFont="0" applyFill="0" applyBorder="0" applyAlignment="0" applyProtection="0"/>
    <xf numFmtId="43" fontId="141" fillId="0" borderId="0" applyFont="0" applyFill="0" applyBorder="0" applyAlignment="0" applyProtection="0"/>
    <xf numFmtId="43" fontId="47" fillId="0" borderId="0" applyFont="0" applyFill="0" applyBorder="0" applyAlignment="0" applyProtection="0"/>
    <xf numFmtId="0" fontId="144" fillId="0" borderId="0"/>
    <xf numFmtId="0" fontId="5" fillId="0" borderId="0"/>
    <xf numFmtId="0" fontId="16" fillId="0" borderId="0"/>
    <xf numFmtId="0" fontId="141" fillId="0" borderId="0"/>
    <xf numFmtId="0" fontId="221" fillId="0" borderId="0"/>
    <xf numFmtId="0" fontId="144" fillId="0" borderId="0"/>
    <xf numFmtId="0" fontId="220" fillId="0" borderId="0">
      <alignment vertical="center"/>
    </xf>
    <xf numFmtId="0" fontId="65" fillId="0" borderId="0"/>
    <xf numFmtId="43" fontId="1" fillId="0" borderId="0" applyFont="0" applyFill="0" applyBorder="0" applyAlignment="0" applyProtection="0"/>
  </cellStyleXfs>
  <cellXfs count="507">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5" fillId="0" borderId="0" xfId="0" applyFont="1" applyFill="1" applyAlignment="1">
      <alignment horizontal="center"/>
    </xf>
    <xf numFmtId="0" fontId="5" fillId="0" borderId="0" xfId="0" applyFont="1" applyFill="1" applyAlignment="1">
      <alignment vertical="center"/>
    </xf>
    <xf numFmtId="0" fontId="5" fillId="0" borderId="0" xfId="0" applyFont="1" applyFill="1" applyAlignment="1">
      <alignment vertical="center" wrapText="1"/>
    </xf>
    <xf numFmtId="0" fontId="7" fillId="0" borderId="0" xfId="0" applyFont="1" applyFill="1" applyAlignment="1">
      <alignment horizontal="left" vertical="center"/>
    </xf>
    <xf numFmtId="3" fontId="4" fillId="0" borderId="0" xfId="1333" applyAlignment="1">
      <alignment horizontal="center" vertical="center" wrapText="1"/>
    </xf>
    <xf numFmtId="3" fontId="4" fillId="0" borderId="0" xfId="1333">
      <alignment vertical="center" wrapText="1"/>
    </xf>
    <xf numFmtId="3" fontId="208" fillId="0" borderId="0" xfId="1333" applyFont="1" applyAlignment="1">
      <alignment vertical="center" wrapText="1"/>
    </xf>
    <xf numFmtId="3" fontId="34" fillId="0" borderId="0" xfId="1333" applyFont="1">
      <alignment vertical="center" wrapText="1"/>
    </xf>
    <xf numFmtId="3" fontId="34" fillId="0" borderId="0" xfId="1333" applyFont="1" applyAlignment="1">
      <alignment horizontal="center" vertical="center" wrapText="1"/>
    </xf>
    <xf numFmtId="3" fontId="208" fillId="0" borderId="0" xfId="1333" applyFont="1" applyAlignment="1">
      <alignment horizontal="righ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wrapText="1"/>
    </xf>
    <xf numFmtId="0" fontId="7" fillId="0" borderId="0" xfId="0" applyFont="1" applyFill="1"/>
    <xf numFmtId="0" fontId="5" fillId="0" borderId="0" xfId="0" applyFont="1" applyFill="1" applyAlignment="1">
      <alignment horizontal="center" vertical="center"/>
    </xf>
    <xf numFmtId="0" fontId="7" fillId="0" borderId="0" xfId="0" applyFont="1" applyFill="1" applyAlignment="1">
      <alignment horizontal="center"/>
    </xf>
    <xf numFmtId="3" fontId="207" fillId="0" borderId="0" xfId="1333" applyFont="1" applyAlignment="1">
      <alignment horizontal="center" vertical="center" wrapText="1"/>
    </xf>
    <xf numFmtId="3" fontId="207" fillId="0" borderId="3" xfId="1333" applyFont="1" applyBorder="1" applyAlignment="1">
      <alignment horizontal="center" vertical="center" wrapText="1"/>
    </xf>
    <xf numFmtId="3" fontId="208" fillId="0" borderId="0" xfId="1751" applyFont="1" applyAlignment="1">
      <alignment horizontal="left" vertical="center"/>
    </xf>
    <xf numFmtId="3" fontId="207" fillId="0" borderId="0" xfId="1333" applyFont="1">
      <alignment vertical="center" wrapText="1"/>
    </xf>
    <xf numFmtId="3" fontId="4" fillId="0" borderId="0" xfId="1333" applyFont="1">
      <alignment vertical="center" wrapText="1"/>
    </xf>
    <xf numFmtId="3" fontId="207" fillId="0" borderId="0" xfId="1333" applyFont="1" applyAlignment="1">
      <alignment horizontal="center" vertical="center" wrapText="1"/>
    </xf>
    <xf numFmtId="3" fontId="208" fillId="0" borderId="0" xfId="1333" applyFont="1" applyAlignment="1">
      <alignment horizontal="left" vertical="center"/>
    </xf>
    <xf numFmtId="3" fontId="34" fillId="0" borderId="3" xfId="1333" applyFont="1" applyBorder="1" applyAlignment="1">
      <alignment horizontal="center" vertical="center" wrapText="1"/>
    </xf>
    <xf numFmtId="3" fontId="34" fillId="0" borderId="3" xfId="1333" applyFont="1" applyBorder="1">
      <alignment vertical="center" wrapText="1"/>
    </xf>
    <xf numFmtId="3" fontId="207" fillId="0" borderId="3" xfId="1333" applyFont="1" applyBorder="1">
      <alignment vertical="center" wrapText="1"/>
    </xf>
    <xf numFmtId="3" fontId="208" fillId="0" borderId="0" xfId="1333" applyFont="1" applyAlignment="1">
      <alignment horizontal="right" vertical="center"/>
    </xf>
    <xf numFmtId="3" fontId="4" fillId="0" borderId="0" xfId="1333" applyFont="1" applyAlignment="1">
      <alignment vertical="center"/>
    </xf>
    <xf numFmtId="3" fontId="4" fillId="0" borderId="0" xfId="1333" applyAlignment="1">
      <alignment vertical="center" wrapText="1"/>
    </xf>
    <xf numFmtId="0" fontId="212" fillId="0" borderId="3" xfId="0" applyFont="1" applyFill="1" applyBorder="1" applyAlignment="1">
      <alignment horizontal="center" vertical="center"/>
    </xf>
    <xf numFmtId="0" fontId="212" fillId="0" borderId="3" xfId="0" applyFont="1" applyFill="1" applyBorder="1" applyAlignment="1">
      <alignment horizontal="center" vertical="center" wrapText="1"/>
    </xf>
    <xf numFmtId="3" fontId="212" fillId="0" borderId="3" xfId="0" applyNumberFormat="1" applyFont="1" applyFill="1" applyBorder="1" applyAlignment="1">
      <alignment horizontal="right" vertical="center"/>
    </xf>
    <xf numFmtId="9" fontId="212" fillId="0" borderId="3" xfId="0" applyNumberFormat="1" applyFont="1" applyFill="1" applyBorder="1" applyAlignment="1">
      <alignment horizontal="right" vertical="center"/>
    </xf>
    <xf numFmtId="0" fontId="213" fillId="0" borderId="0" xfId="0" applyFont="1" applyFill="1" applyAlignment="1">
      <alignment vertical="center"/>
    </xf>
    <xf numFmtId="0" fontId="213" fillId="0" borderId="3" xfId="0" applyFont="1" applyFill="1" applyBorder="1" applyAlignment="1">
      <alignment horizontal="center" vertical="center"/>
    </xf>
    <xf numFmtId="0" fontId="213" fillId="0" borderId="3" xfId="0" applyFont="1" applyFill="1" applyBorder="1" applyAlignment="1">
      <alignment vertical="center" wrapText="1"/>
    </xf>
    <xf numFmtId="3" fontId="213" fillId="0" borderId="3" xfId="0" applyNumberFormat="1" applyFont="1" applyFill="1" applyBorder="1" applyAlignment="1">
      <alignment horizontal="right" vertical="center"/>
    </xf>
    <xf numFmtId="3" fontId="34" fillId="0" borderId="3" xfId="1" applyNumberFormat="1" applyFont="1" applyFill="1" applyBorder="1" applyAlignment="1">
      <alignment horizontal="center" vertical="center" wrapText="1"/>
    </xf>
    <xf numFmtId="0" fontId="214" fillId="0" borderId="0" xfId="0" applyFont="1" applyFill="1" applyAlignment="1">
      <alignment horizontal="center"/>
    </xf>
    <xf numFmtId="10" fontId="34" fillId="0" borderId="3" xfId="1" applyNumberFormat="1" applyFont="1" applyFill="1" applyBorder="1" applyAlignment="1">
      <alignment horizontal="center" vertical="center" wrapText="1"/>
    </xf>
    <xf numFmtId="0" fontId="5" fillId="0" borderId="0" xfId="0" applyFont="1" applyFill="1" applyAlignment="1"/>
    <xf numFmtId="3" fontId="4" fillId="0" borderId="0" xfId="1333" applyFont="1" applyAlignment="1">
      <alignment horizontal="right" vertical="center" wrapText="1"/>
    </xf>
    <xf numFmtId="3" fontId="4" fillId="0" borderId="0" xfId="1333" applyFont="1" applyAlignment="1">
      <alignment vertical="center" wrapText="1"/>
    </xf>
    <xf numFmtId="3" fontId="207" fillId="0" borderId="3" xfId="1333" applyFont="1" applyBorder="1" applyAlignment="1">
      <alignment vertical="center" wrapText="1"/>
    </xf>
    <xf numFmtId="3" fontId="207" fillId="0" borderId="0" xfId="1333" applyFont="1" applyAlignment="1">
      <alignment vertical="center" wrapText="1"/>
    </xf>
    <xf numFmtId="3" fontId="207" fillId="50" borderId="3" xfId="1333" applyFont="1" applyFill="1" applyBorder="1" applyAlignment="1">
      <alignment horizontal="center" vertical="center" wrapText="1"/>
    </xf>
    <xf numFmtId="0" fontId="212" fillId="50" borderId="3" xfId="0" applyFont="1" applyFill="1" applyBorder="1" applyAlignment="1">
      <alignment horizontal="center" vertical="center"/>
    </xf>
    <xf numFmtId="0" fontId="212" fillId="50" borderId="3" xfId="0" applyFont="1" applyFill="1" applyBorder="1" applyAlignment="1">
      <alignment horizontal="center" vertical="center" wrapText="1"/>
    </xf>
    <xf numFmtId="3" fontId="212" fillId="50" borderId="3" xfId="0" applyNumberFormat="1" applyFont="1" applyFill="1" applyBorder="1" applyAlignment="1">
      <alignment horizontal="right" vertical="center"/>
    </xf>
    <xf numFmtId="9" fontId="212" fillId="50" borderId="3" xfId="0" applyNumberFormat="1" applyFont="1" applyFill="1" applyBorder="1" applyAlignment="1">
      <alignment horizontal="right" vertical="center"/>
    </xf>
    <xf numFmtId="0" fontId="213" fillId="50" borderId="0" xfId="0" applyFont="1" applyFill="1" applyAlignment="1">
      <alignment vertical="center"/>
    </xf>
    <xf numFmtId="3" fontId="207" fillId="50" borderId="0" xfId="1333" applyFont="1" applyFill="1" applyAlignment="1">
      <alignment horizontal="center" vertical="center" wrapText="1"/>
    </xf>
    <xf numFmtId="3" fontId="207" fillId="0" borderId="0" xfId="1333" applyFont="1" applyBorder="1" applyAlignment="1">
      <alignment horizontal="center" vertical="center" wrapText="1"/>
    </xf>
    <xf numFmtId="3" fontId="207" fillId="0" borderId="0" xfId="1333" applyFont="1" applyBorder="1">
      <alignment vertical="center" wrapText="1"/>
    </xf>
    <xf numFmtId="0" fontId="217" fillId="0" borderId="0" xfId="0" applyFont="1" applyAlignment="1">
      <alignment horizontal="justify" vertical="center"/>
    </xf>
    <xf numFmtId="0" fontId="0" fillId="0" borderId="3" xfId="0" applyBorder="1"/>
    <xf numFmtId="0" fontId="21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2" xfId="0" applyFont="1" applyBorder="1" applyAlignment="1">
      <alignment horizontal="center" vertical="center"/>
    </xf>
    <xf numFmtId="0" fontId="5" fillId="0" borderId="3" xfId="0" applyFont="1" applyBorder="1"/>
    <xf numFmtId="0" fontId="5" fillId="0" borderId="12" xfId="0" applyFont="1" applyBorder="1" applyAlignment="1">
      <alignment horizontal="left" vertical="center"/>
    </xf>
    <xf numFmtId="0" fontId="5" fillId="0" borderId="0" xfId="0" applyFont="1" applyAlignment="1">
      <alignment horizontal="center"/>
    </xf>
    <xf numFmtId="0" fontId="7" fillId="0" borderId="3" xfId="0" applyFont="1" applyBorder="1" applyAlignment="1">
      <alignment horizontal="center" vertical="center"/>
    </xf>
    <xf numFmtId="0" fontId="7" fillId="0" borderId="0" xfId="0" applyFont="1"/>
    <xf numFmtId="0" fontId="5" fillId="0" borderId="13" xfId="0" applyFont="1" applyBorder="1" applyAlignment="1">
      <alignment horizontal="center" vertical="center"/>
    </xf>
    <xf numFmtId="0" fontId="141" fillId="0" borderId="0" xfId="1752"/>
    <xf numFmtId="0" fontId="222" fillId="0" borderId="0" xfId="1752" applyFont="1" applyAlignment="1">
      <alignment horizontal="right" vertical="center"/>
    </xf>
    <xf numFmtId="0" fontId="0" fillId="0" borderId="0" xfId="0" applyBorder="1" applyAlignment="1">
      <alignment horizontal="center"/>
    </xf>
    <xf numFmtId="0" fontId="0" fillId="0" borderId="4" xfId="0" applyBorder="1" applyAlignment="1">
      <alignment horizontal="center"/>
    </xf>
    <xf numFmtId="0" fontId="5"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208"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43" fontId="34" fillId="0" borderId="0" xfId="0" applyNumberFormat="1" applyFont="1" applyFill="1" applyAlignment="1">
      <alignment horizontal="center" vertical="center" wrapText="1"/>
    </xf>
    <xf numFmtId="0" fontId="34" fillId="0" borderId="0" xfId="0" applyFont="1" applyFill="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alignment horizontal="center" vertical="center" wrapText="1"/>
    </xf>
    <xf numFmtId="0" fontId="207" fillId="0" borderId="3" xfId="0" applyFont="1" applyFill="1" applyBorder="1" applyAlignment="1">
      <alignment vertical="center" wrapText="1"/>
    </xf>
    <xf numFmtId="0" fontId="207" fillId="0" borderId="0" xfId="0" applyFont="1" applyFill="1" applyAlignment="1">
      <alignment horizontal="center" vertical="center" wrapText="1"/>
    </xf>
    <xf numFmtId="0" fontId="207" fillId="0" borderId="0" xfId="0" applyFont="1" applyFill="1" applyAlignment="1">
      <alignment vertical="center" wrapText="1"/>
    </xf>
    <xf numFmtId="0" fontId="34" fillId="0" borderId="3" xfId="0" applyFont="1" applyFill="1" applyBorder="1" applyAlignment="1">
      <alignment vertical="center" wrapText="1"/>
    </xf>
    <xf numFmtId="0" fontId="34" fillId="0" borderId="0" xfId="0" applyFont="1" applyFill="1" applyAlignment="1">
      <alignment vertical="center" wrapText="1"/>
    </xf>
    <xf numFmtId="0" fontId="224" fillId="0" borderId="0" xfId="0" applyFont="1" applyFill="1" applyAlignment="1">
      <alignment horizontal="center" vertical="center" wrapText="1"/>
    </xf>
    <xf numFmtId="0" fontId="224" fillId="0" borderId="0" xfId="0" applyFont="1" applyFill="1" applyAlignment="1">
      <alignment vertical="center" wrapText="1"/>
    </xf>
    <xf numFmtId="0" fontId="208" fillId="0" borderId="0" xfId="1758" applyFont="1" applyAlignment="1">
      <alignment vertical="center"/>
    </xf>
    <xf numFmtId="0" fontId="208" fillId="0" borderId="0" xfId="0" applyFont="1" applyFill="1" applyAlignment="1">
      <alignment vertical="center"/>
    </xf>
    <xf numFmtId="4" fontId="208" fillId="0" borderId="0" xfId="0" applyNumberFormat="1" applyFont="1" applyFill="1" applyAlignment="1">
      <alignment vertical="center"/>
    </xf>
    <xf numFmtId="216" fontId="208" fillId="0" borderId="0" xfId="0" applyNumberFormat="1" applyFont="1" applyFill="1" applyAlignment="1">
      <alignment vertical="center"/>
    </xf>
    <xf numFmtId="43" fontId="4" fillId="0" borderId="0" xfId="0" applyNumberFormat="1" applyFont="1" applyFill="1" applyAlignment="1">
      <alignment vertical="center" wrapText="1"/>
    </xf>
    <xf numFmtId="4" fontId="4" fillId="0" borderId="0" xfId="0" applyNumberFormat="1" applyFont="1" applyFill="1" applyAlignment="1">
      <alignment vertical="center" wrapText="1"/>
    </xf>
    <xf numFmtId="216" fontId="4" fillId="0" borderId="0" xfId="0" applyNumberFormat="1" applyFont="1" applyFill="1" applyAlignment="1">
      <alignment vertical="center" wrapText="1"/>
    </xf>
    <xf numFmtId="1" fontId="3" fillId="0" borderId="13" xfId="0" applyNumberFormat="1" applyFont="1" applyFill="1" applyBorder="1" applyAlignment="1">
      <alignment horizontal="center" vertical="center" wrapText="1"/>
    </xf>
    <xf numFmtId="1" fontId="3" fillId="0" borderId="0" xfId="0" applyNumberFormat="1" applyFont="1" applyFill="1" applyAlignment="1">
      <alignment horizontal="center" vertical="center" wrapText="1"/>
    </xf>
    <xf numFmtId="43" fontId="207" fillId="0" borderId="3" xfId="1753" applyFont="1" applyFill="1" applyBorder="1" applyAlignment="1">
      <alignment horizontal="right" vertical="center" wrapText="1"/>
    </xf>
    <xf numFmtId="43" fontId="34" fillId="0" borderId="3" xfId="1753" applyNumberFormat="1" applyFont="1" applyFill="1" applyBorder="1" applyAlignment="1">
      <alignment vertical="center" wrapText="1"/>
    </xf>
    <xf numFmtId="4" fontId="34" fillId="0" borderId="3" xfId="1753" applyNumberFormat="1" applyFont="1" applyFill="1" applyBorder="1" applyAlignment="1">
      <alignment vertical="center" wrapText="1"/>
    </xf>
    <xf numFmtId="0" fontId="207" fillId="0" borderId="3" xfId="0" applyFont="1" applyFill="1" applyBorder="1" applyAlignment="1">
      <alignment horizontal="left" vertical="center" wrapText="1"/>
    </xf>
    <xf numFmtId="43" fontId="207" fillId="0" borderId="3" xfId="1753" applyFont="1" applyFill="1" applyBorder="1" applyAlignment="1">
      <alignment vertical="center" wrapText="1"/>
    </xf>
    <xf numFmtId="43" fontId="207" fillId="0" borderId="3" xfId="1753" applyNumberFormat="1" applyFont="1" applyFill="1" applyBorder="1" applyAlignment="1">
      <alignment vertical="center" wrapText="1"/>
    </xf>
    <xf numFmtId="4" fontId="207" fillId="0" borderId="3" xfId="1753" applyNumberFormat="1" applyFont="1" applyFill="1" applyBorder="1" applyAlignment="1">
      <alignment vertical="center" wrapText="1"/>
    </xf>
    <xf numFmtId="4" fontId="224" fillId="0" borderId="0" xfId="0" applyNumberFormat="1" applyFont="1" applyFill="1" applyAlignment="1">
      <alignment vertical="center" wrapText="1"/>
    </xf>
    <xf numFmtId="216" fontId="224" fillId="0" borderId="0" xfId="0" applyNumberFormat="1" applyFont="1" applyFill="1" applyAlignment="1">
      <alignment vertical="center" wrapText="1"/>
    </xf>
    <xf numFmtId="0" fontId="4" fillId="0" borderId="0" xfId="1758" applyFont="1" applyAlignment="1">
      <alignment horizontal="left" vertical="center"/>
    </xf>
    <xf numFmtId="0" fontId="211" fillId="0" borderId="4" xfId="1758" applyFont="1" applyBorder="1" applyAlignment="1">
      <alignment horizontal="left" vertical="center"/>
    </xf>
    <xf numFmtId="0" fontId="34" fillId="0" borderId="0" xfId="1758" applyFont="1" applyAlignment="1">
      <alignment horizontal="center" vertical="center" wrapText="1"/>
    </xf>
    <xf numFmtId="0" fontId="3" fillId="0" borderId="3" xfId="1758" applyFont="1" applyBorder="1" applyAlignment="1">
      <alignment horizontal="center" vertical="center" wrapText="1"/>
    </xf>
    <xf numFmtId="0" fontId="207" fillId="0" borderId="3" xfId="1758" applyFont="1" applyBorder="1" applyAlignment="1">
      <alignment horizontal="center" vertical="center" wrapText="1"/>
    </xf>
    <xf numFmtId="0" fontId="207" fillId="0" borderId="0" xfId="1758" applyFont="1" applyAlignment="1">
      <alignment horizontal="center" vertical="center" wrapText="1"/>
    </xf>
    <xf numFmtId="0" fontId="34" fillId="0" borderId="3" xfId="1758" applyFont="1" applyBorder="1" applyAlignment="1">
      <alignment horizontal="center" vertical="center"/>
    </xf>
    <xf numFmtId="0" fontId="34" fillId="0" borderId="3" xfId="1758" applyFont="1" applyBorder="1" applyAlignment="1">
      <alignment horizontal="left" vertical="center"/>
    </xf>
    <xf numFmtId="0" fontId="34" fillId="0" borderId="0" xfId="1758" applyFont="1" applyAlignment="1">
      <alignment horizontal="left" vertical="center"/>
    </xf>
    <xf numFmtId="0" fontId="4" fillId="0" borderId="3" xfId="1752" applyFont="1" applyBorder="1" applyAlignment="1">
      <alignment horizontal="center" vertical="center" wrapText="1"/>
    </xf>
    <xf numFmtId="0" fontId="4" fillId="0" borderId="3" xfId="1752" applyFont="1" applyBorder="1" applyAlignment="1">
      <alignment horizontal="center" vertical="center"/>
    </xf>
    <xf numFmtId="0" fontId="7" fillId="0" borderId="43" xfId="0" applyFont="1" applyBorder="1" applyAlignment="1">
      <alignment horizontal="center" vertical="center" wrapText="1"/>
    </xf>
    <xf numFmtId="0" fontId="226" fillId="0" borderId="0" xfId="1758" applyFont="1" applyAlignment="1">
      <alignment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wrapText="1"/>
    </xf>
    <xf numFmtId="0" fontId="7" fillId="0" borderId="12" xfId="0" applyFont="1" applyBorder="1" applyAlignment="1">
      <alignment horizontal="center" vertical="center"/>
    </xf>
    <xf numFmtId="3" fontId="4" fillId="51" borderId="0" xfId="1333" applyFont="1" applyFill="1">
      <alignment vertical="center" wrapText="1"/>
    </xf>
    <xf numFmtId="3" fontId="208" fillId="51" borderId="0" xfId="1333" applyFont="1" applyFill="1" applyAlignment="1">
      <alignment vertical="center"/>
    </xf>
    <xf numFmtId="3" fontId="4" fillId="51" borderId="0" xfId="1333" applyFont="1" applyFill="1" applyAlignment="1">
      <alignment horizontal="center" vertical="center" wrapText="1"/>
    </xf>
    <xf numFmtId="3" fontId="209" fillId="51" borderId="0" xfId="1333" applyFont="1" applyFill="1" applyAlignment="1">
      <alignment horizontal="center" vertical="center" wrapText="1"/>
    </xf>
    <xf numFmtId="3" fontId="209" fillId="51" borderId="3" xfId="1333" applyFont="1" applyFill="1" applyBorder="1" applyAlignment="1">
      <alignment vertical="center" wrapText="1"/>
    </xf>
    <xf numFmtId="3" fontId="210" fillId="51" borderId="0" xfId="1333" applyFont="1" applyFill="1" applyAlignment="1">
      <alignment horizontal="center" vertical="center" wrapText="1"/>
    </xf>
    <xf numFmtId="0" fontId="5" fillId="0" borderId="3" xfId="0" applyFont="1" applyBorder="1" applyAlignment="1">
      <alignment horizontal="left" vertical="center"/>
    </xf>
    <xf numFmtId="0" fontId="223" fillId="0" borderId="3" xfId="0" applyFont="1" applyBorder="1" applyAlignment="1">
      <alignment horizontal="center" wrapText="1"/>
    </xf>
    <xf numFmtId="9" fontId="5" fillId="0" borderId="12" xfId="0" applyNumberFormat="1" applyFont="1" applyBorder="1" applyAlignment="1">
      <alignment horizontal="left" vertical="center"/>
    </xf>
    <xf numFmtId="0" fontId="209" fillId="0" borderId="3" xfId="0" applyFont="1" applyBorder="1" applyAlignment="1">
      <alignment horizontal="left" vertical="center" wrapText="1"/>
    </xf>
    <xf numFmtId="0" fontId="5" fillId="0" borderId="12" xfId="0" applyFont="1" applyBorder="1" applyAlignment="1">
      <alignment horizontal="center" vertical="center" wrapText="1"/>
    </xf>
    <xf numFmtId="0" fontId="208" fillId="0" borderId="3" xfId="1752" applyFont="1" applyBorder="1" applyAlignment="1">
      <alignment horizontal="center" vertical="center" wrapText="1"/>
    </xf>
    <xf numFmtId="0" fontId="4" fillId="0" borderId="3" xfId="1752" applyFont="1" applyFill="1" applyBorder="1" applyAlignment="1">
      <alignment horizontal="center" vertical="center" wrapText="1"/>
    </xf>
    <xf numFmtId="0" fontId="5" fillId="0" borderId="0" xfId="0" applyFont="1" applyAlignment="1"/>
    <xf numFmtId="2" fontId="5" fillId="0" borderId="12" xfId="0" applyNumberFormat="1" applyFont="1" applyBorder="1" applyAlignment="1">
      <alignment horizontal="left" vertical="center"/>
    </xf>
    <xf numFmtId="3" fontId="209" fillId="51" borderId="3" xfId="1333" applyFont="1" applyFill="1" applyBorder="1" applyAlignment="1">
      <alignment horizontal="center" vertical="center" wrapText="1"/>
    </xf>
    <xf numFmtId="3" fontId="210" fillId="51" borderId="3" xfId="1333" applyFont="1" applyFill="1" applyBorder="1" applyAlignment="1">
      <alignment horizontal="center" vertical="center" wrapText="1"/>
    </xf>
    <xf numFmtId="3" fontId="209" fillId="0" borderId="3" xfId="1333" applyFont="1" applyBorder="1" applyAlignment="1">
      <alignment horizontal="center" vertical="center" wrapText="1"/>
    </xf>
    <xf numFmtId="3" fontId="209" fillId="0" borderId="3" xfId="1333" applyFont="1" applyBorder="1" applyAlignment="1">
      <alignment vertical="center" wrapText="1"/>
    </xf>
    <xf numFmtId="3" fontId="210" fillId="50" borderId="3" xfId="1333" applyFont="1" applyFill="1" applyBorder="1" applyAlignment="1">
      <alignment horizontal="center" vertical="center" wrapText="1"/>
    </xf>
    <xf numFmtId="3" fontId="210" fillId="50" borderId="0" xfId="1333" applyFont="1" applyFill="1" applyAlignment="1">
      <alignment horizontal="center" vertical="center" wrapText="1"/>
    </xf>
    <xf numFmtId="9" fontId="214" fillId="0" borderId="3" xfId="0" applyNumberFormat="1" applyFont="1" applyFill="1" applyBorder="1" applyAlignment="1">
      <alignment horizontal="right" vertical="center"/>
    </xf>
    <xf numFmtId="3" fontId="3" fillId="51" borderId="3" xfId="1333" applyFont="1" applyFill="1" applyBorder="1" applyAlignment="1">
      <alignment horizontal="center" vertical="center" wrapText="1"/>
    </xf>
    <xf numFmtId="3" fontId="209" fillId="51" borderId="3" xfId="1333" applyFont="1" applyFill="1" applyBorder="1" applyAlignment="1">
      <alignment horizontal="center" vertical="center" wrapText="1"/>
    </xf>
    <xf numFmtId="3" fontId="210" fillId="50" borderId="3" xfId="1333" applyFont="1" applyFill="1" applyBorder="1" applyAlignment="1">
      <alignment vertical="center" wrapText="1"/>
    </xf>
    <xf numFmtId="3" fontId="210" fillId="50" borderId="0" xfId="1333" applyFont="1" applyFill="1" applyAlignment="1">
      <alignment vertical="center" wrapText="1"/>
    </xf>
    <xf numFmtId="3" fontId="209" fillId="0" borderId="0" xfId="1333" applyFont="1" applyAlignment="1">
      <alignment vertical="center" wrapText="1"/>
    </xf>
    <xf numFmtId="3" fontId="209" fillId="50" borderId="3" xfId="1333" applyFont="1" applyFill="1" applyBorder="1" applyAlignment="1">
      <alignment horizontal="center" vertical="center" wrapText="1"/>
    </xf>
    <xf numFmtId="0" fontId="207" fillId="0" borderId="3" xfId="0" applyFont="1" applyFill="1" applyBorder="1" applyAlignment="1">
      <alignment horizontal="center" vertical="center" wrapText="1"/>
    </xf>
    <xf numFmtId="3" fontId="209" fillId="51" borderId="3" xfId="1333" applyFont="1" applyFill="1" applyBorder="1" applyAlignment="1">
      <alignment horizontal="center" vertical="center" wrapText="1"/>
    </xf>
    <xf numFmtId="3" fontId="210" fillId="51" borderId="3" xfId="1333" applyFont="1" applyFill="1" applyBorder="1" applyAlignment="1">
      <alignment horizontal="center" vertical="center" wrapText="1"/>
    </xf>
    <xf numFmtId="0" fontId="208" fillId="0" borderId="0" xfId="0" applyFont="1" applyFill="1" applyAlignment="1">
      <alignment horizontal="center" vertical="center"/>
    </xf>
    <xf numFmtId="0" fontId="34" fillId="0" borderId="13"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4" fillId="0" borderId="0" xfId="1758" applyFont="1" applyAlignment="1">
      <alignment horizontal="center" vertical="center"/>
    </xf>
    <xf numFmtId="216" fontId="34" fillId="0" borderId="3" xfId="0" applyNumberFormat="1" applyFont="1" applyFill="1" applyBorder="1" applyAlignment="1">
      <alignment horizontal="center" vertical="center" wrapText="1"/>
    </xf>
    <xf numFmtId="0" fontId="34" fillId="0" borderId="3" xfId="1758" applyFont="1" applyBorder="1" applyAlignment="1">
      <alignment horizontal="center" vertical="center" wrapText="1"/>
    </xf>
    <xf numFmtId="0" fontId="214" fillId="0" borderId="3" xfId="0" applyFont="1" applyBorder="1" applyAlignment="1">
      <alignment wrapText="1"/>
    </xf>
    <xf numFmtId="0" fontId="214" fillId="51" borderId="3" xfId="0" applyFont="1" applyFill="1" applyBorder="1" applyAlignment="1">
      <alignment wrapText="1"/>
    </xf>
    <xf numFmtId="0" fontId="214" fillId="0" borderId="3" xfId="0" applyFont="1" applyBorder="1" applyAlignment="1">
      <alignment horizontal="center"/>
    </xf>
    <xf numFmtId="0" fontId="214" fillId="0" borderId="3" xfId="1752" applyFont="1" applyBorder="1" applyAlignment="1">
      <alignment horizontal="center"/>
    </xf>
    <xf numFmtId="0" fontId="214" fillId="0" borderId="3" xfId="1752" applyFont="1" applyBorder="1" applyAlignment="1"/>
    <xf numFmtId="0" fontId="214" fillId="0" borderId="0" xfId="0" applyFont="1" applyAlignment="1"/>
    <xf numFmtId="0" fontId="214" fillId="0" borderId="3" xfId="1752" applyFont="1" applyFill="1" applyBorder="1" applyAlignment="1"/>
    <xf numFmtId="0" fontId="214" fillId="0" borderId="0" xfId="0" applyFont="1" applyAlignment="1">
      <alignment horizontal="left"/>
    </xf>
    <xf numFmtId="172" fontId="5" fillId="0" borderId="0" xfId="1764" applyNumberFormat="1" applyFont="1"/>
    <xf numFmtId="43" fontId="4" fillId="0" borderId="0" xfId="1764" applyFont="1" applyFill="1" applyAlignment="1">
      <alignment vertical="center"/>
    </xf>
    <xf numFmtId="172" fontId="4" fillId="0" borderId="0" xfId="1764" applyNumberFormat="1" applyFont="1" applyFill="1" applyAlignment="1">
      <alignment vertical="center"/>
    </xf>
    <xf numFmtId="43" fontId="4" fillId="0" borderId="0" xfId="1764" applyFont="1" applyFill="1" applyAlignment="1">
      <alignment vertical="center" wrapText="1"/>
    </xf>
    <xf numFmtId="172" fontId="4" fillId="0" borderId="0" xfId="1764" applyNumberFormat="1" applyFont="1" applyFill="1" applyAlignment="1">
      <alignment vertical="center" wrapText="1"/>
    </xf>
    <xf numFmtId="43" fontId="34" fillId="0" borderId="13" xfId="1764" applyFont="1" applyFill="1" applyBorder="1" applyAlignment="1">
      <alignment horizontal="center" vertical="center" wrapText="1"/>
    </xf>
    <xf numFmtId="172" fontId="3" fillId="0" borderId="13" xfId="1764" applyNumberFormat="1" applyFont="1" applyFill="1" applyBorder="1" applyAlignment="1">
      <alignment horizontal="center" vertical="center" wrapText="1"/>
    </xf>
    <xf numFmtId="43" fontId="207" fillId="0" borderId="3" xfId="1764" applyFont="1" applyFill="1" applyBorder="1" applyAlignment="1">
      <alignment vertical="center" wrapText="1"/>
    </xf>
    <xf numFmtId="43" fontId="207" fillId="0" borderId="3" xfId="0" applyNumberFormat="1" applyFont="1" applyFill="1" applyBorder="1" applyAlignment="1">
      <alignment vertical="center" wrapText="1"/>
    </xf>
    <xf numFmtId="280" fontId="207" fillId="0" borderId="3" xfId="0" applyNumberFormat="1" applyFont="1" applyFill="1" applyBorder="1" applyAlignment="1">
      <alignment vertical="center" wrapText="1"/>
    </xf>
    <xf numFmtId="43" fontId="34" fillId="0" borderId="3" xfId="1764" applyFont="1" applyFill="1" applyBorder="1" applyAlignment="1">
      <alignment vertical="center" wrapText="1"/>
    </xf>
    <xf numFmtId="172" fontId="34" fillId="0" borderId="3" xfId="1764" applyNumberFormat="1" applyFont="1" applyFill="1" applyBorder="1" applyAlignment="1">
      <alignment vertical="center" wrapText="1"/>
    </xf>
    <xf numFmtId="43" fontId="34" fillId="0" borderId="3" xfId="1764" applyFont="1" applyFill="1" applyBorder="1" applyAlignment="1">
      <alignment horizontal="center" vertical="center" wrapText="1"/>
    </xf>
    <xf numFmtId="280" fontId="34" fillId="0" borderId="3" xfId="1764" applyNumberFormat="1" applyFont="1" applyFill="1" applyBorder="1" applyAlignment="1">
      <alignment horizontal="center" vertical="center" wrapText="1"/>
    </xf>
    <xf numFmtId="172" fontId="34" fillId="0" borderId="3" xfId="1764" applyNumberFormat="1" applyFont="1" applyFill="1" applyBorder="1" applyAlignment="1">
      <alignment horizontal="center" vertical="center" wrapText="1"/>
    </xf>
    <xf numFmtId="0" fontId="224" fillId="0" borderId="0" xfId="0" applyFont="1" applyFill="1" applyBorder="1" applyAlignment="1">
      <alignment horizontal="center" vertical="center" wrapText="1"/>
    </xf>
    <xf numFmtId="0" fontId="207" fillId="0" borderId="0" xfId="0" applyFont="1" applyFill="1" applyBorder="1" applyAlignment="1">
      <alignment vertical="center" wrapText="1"/>
    </xf>
    <xf numFmtId="0" fontId="224" fillId="0" borderId="0" xfId="0" applyFont="1" applyFill="1" applyBorder="1" applyAlignment="1">
      <alignment vertical="center" wrapText="1"/>
    </xf>
    <xf numFmtId="43" fontId="224" fillId="0" borderId="0" xfId="1764" applyFont="1" applyFill="1" applyBorder="1" applyAlignment="1">
      <alignment vertical="center" wrapText="1"/>
    </xf>
    <xf numFmtId="172" fontId="224" fillId="0" borderId="0" xfId="1764"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4" fillId="0" borderId="0" xfId="1758" applyFont="1" applyBorder="1" applyAlignment="1">
      <alignment horizontal="center" vertical="center"/>
    </xf>
    <xf numFmtId="0" fontId="208" fillId="0" borderId="0" xfId="1758" applyFont="1" applyBorder="1" applyAlignment="1">
      <alignment horizontal="center" vertical="center"/>
    </xf>
    <xf numFmtId="0" fontId="208" fillId="0" borderId="0" xfId="1758" applyFont="1" applyBorder="1" applyAlignment="1">
      <alignment vertical="center"/>
    </xf>
    <xf numFmtId="43" fontId="224" fillId="0" borderId="0" xfId="1764" applyFont="1" applyFill="1" applyAlignment="1">
      <alignment vertical="center" wrapText="1"/>
    </xf>
    <xf numFmtId="172" fontId="224" fillId="0" borderId="0" xfId="1764" applyNumberFormat="1" applyFont="1" applyFill="1" applyAlignment="1">
      <alignment vertical="center" wrapText="1"/>
    </xf>
    <xf numFmtId="43" fontId="4" fillId="0" borderId="0" xfId="1758" applyNumberFormat="1" applyFont="1" applyAlignment="1">
      <alignment vertical="center"/>
    </xf>
    <xf numFmtId="43" fontId="208" fillId="0" borderId="0" xfId="1758" applyNumberFormat="1" applyFont="1" applyAlignment="1">
      <alignment vertical="center"/>
    </xf>
    <xf numFmtId="0" fontId="96" fillId="0" borderId="3" xfId="0" applyFont="1" applyFill="1" applyBorder="1" applyAlignment="1">
      <alignment horizontal="center" vertical="center" wrapText="1"/>
    </xf>
    <xf numFmtId="0" fontId="96" fillId="0" borderId="3" xfId="0" applyFont="1" applyFill="1" applyBorder="1" applyAlignment="1">
      <alignment vertical="center" wrapText="1"/>
    </xf>
    <xf numFmtId="0" fontId="96" fillId="0" borderId="0" xfId="0" applyFont="1" applyFill="1" applyAlignment="1">
      <alignment horizontal="center" vertical="center" wrapText="1"/>
    </xf>
    <xf numFmtId="0" fontId="96" fillId="0" borderId="0" xfId="0" applyFont="1" applyFill="1" applyAlignment="1">
      <alignment vertical="center" wrapText="1"/>
    </xf>
    <xf numFmtId="3" fontId="34" fillId="0" borderId="3" xfId="1753" applyNumberFormat="1" applyFont="1" applyFill="1" applyBorder="1" applyAlignment="1">
      <alignment vertical="center" wrapText="1"/>
    </xf>
    <xf numFmtId="3" fontId="34" fillId="0" borderId="3" xfId="1753" applyNumberFormat="1" applyFont="1" applyFill="1" applyBorder="1" applyAlignment="1">
      <alignment horizontal="center" vertical="center" wrapText="1"/>
    </xf>
    <xf numFmtId="172" fontId="208" fillId="0" borderId="0" xfId="1764" applyNumberFormat="1" applyFont="1" applyAlignment="1">
      <alignment vertical="center"/>
    </xf>
    <xf numFmtId="172" fontId="4" fillId="0" borderId="0" xfId="1764" applyNumberFormat="1" applyFont="1" applyAlignment="1">
      <alignment horizontal="left" vertical="center"/>
    </xf>
    <xf numFmtId="172" fontId="34" fillId="0" borderId="3" xfId="1764" applyNumberFormat="1" applyFont="1" applyBorder="1" applyAlignment="1">
      <alignment horizontal="center" vertical="center" wrapText="1"/>
    </xf>
    <xf numFmtId="172" fontId="34" fillId="0" borderId="0" xfId="1764" applyNumberFormat="1" applyFont="1" applyAlignment="1">
      <alignment horizontal="left" vertical="center"/>
    </xf>
    <xf numFmtId="0" fontId="207" fillId="0" borderId="3" xfId="1758" applyFont="1" applyBorder="1" applyAlignment="1">
      <alignment horizontal="center" vertical="center"/>
    </xf>
    <xf numFmtId="0" fontId="207" fillId="0" borderId="3" xfId="1758" applyFont="1" applyBorder="1" applyAlignment="1">
      <alignment horizontal="left" vertical="center"/>
    </xf>
    <xf numFmtId="0" fontId="207" fillId="0" borderId="0" xfId="1758" applyFont="1" applyAlignment="1">
      <alignment horizontal="left" vertical="center"/>
    </xf>
    <xf numFmtId="0" fontId="96" fillId="0" borderId="3" xfId="1758" applyFont="1" applyBorder="1" applyAlignment="1">
      <alignment horizontal="center" vertical="center"/>
    </xf>
    <xf numFmtId="0" fontId="96" fillId="0" borderId="3" xfId="1758" applyFont="1" applyBorder="1" applyAlignment="1">
      <alignment horizontal="left" vertical="center"/>
    </xf>
    <xf numFmtId="0" fontId="96" fillId="0" borderId="0" xfId="1758" applyFont="1" applyAlignment="1">
      <alignment horizontal="left" vertical="center"/>
    </xf>
    <xf numFmtId="172" fontId="207" fillId="0" borderId="3" xfId="1753" applyNumberFormat="1" applyFont="1" applyFill="1" applyBorder="1" applyAlignment="1">
      <alignment horizontal="right" vertical="center" wrapText="1"/>
    </xf>
    <xf numFmtId="172" fontId="207" fillId="0" borderId="3" xfId="1753" applyNumberFormat="1" applyFont="1" applyFill="1" applyBorder="1" applyAlignment="1">
      <alignment vertical="center" wrapText="1"/>
    </xf>
    <xf numFmtId="172" fontId="4" fillId="0" borderId="0" xfId="1764" applyNumberFormat="1" applyFont="1" applyAlignment="1">
      <alignment horizontal="center" vertical="center"/>
    </xf>
    <xf numFmtId="172" fontId="34" fillId="0" borderId="0" xfId="1764" applyNumberFormat="1" applyFont="1" applyAlignment="1">
      <alignment horizontal="center" vertical="center"/>
    </xf>
    <xf numFmtId="172" fontId="207" fillId="0" borderId="3" xfId="1764" applyNumberFormat="1" applyFont="1" applyBorder="1" applyAlignment="1">
      <alignment vertical="center" wrapText="1"/>
    </xf>
    <xf numFmtId="172" fontId="207" fillId="0" borderId="3" xfId="1764" applyNumberFormat="1" applyFont="1" applyBorder="1" applyAlignment="1">
      <alignment vertical="center"/>
    </xf>
    <xf numFmtId="172" fontId="96" fillId="0" borderId="3" xfId="1764" applyNumberFormat="1" applyFont="1" applyBorder="1" applyAlignment="1">
      <alignment vertical="center"/>
    </xf>
    <xf numFmtId="0" fontId="96" fillId="0" borderId="3" xfId="1758" applyFont="1" applyBorder="1" applyAlignment="1">
      <alignment vertical="center"/>
    </xf>
    <xf numFmtId="172" fontId="34" fillId="0" borderId="3" xfId="1764" applyNumberFormat="1" applyFont="1" applyBorder="1" applyAlignment="1">
      <alignment vertical="center" wrapText="1"/>
    </xf>
    <xf numFmtId="0" fontId="34" fillId="0" borderId="3" xfId="1758" applyFont="1" applyBorder="1" applyAlignment="1">
      <alignment vertical="center" wrapText="1"/>
    </xf>
    <xf numFmtId="172" fontId="34" fillId="0" borderId="3" xfId="1758" applyNumberFormat="1" applyFont="1" applyBorder="1" applyAlignment="1">
      <alignment vertical="center" wrapText="1"/>
    </xf>
    <xf numFmtId="1" fontId="34" fillId="0" borderId="3" xfId="1758" applyNumberFormat="1" applyFont="1" applyBorder="1" applyAlignment="1">
      <alignment vertical="center" wrapText="1"/>
    </xf>
    <xf numFmtId="172" fontId="34" fillId="0" borderId="3" xfId="1764" applyNumberFormat="1" applyFont="1" applyBorder="1" applyAlignment="1">
      <alignment vertical="center"/>
    </xf>
    <xf numFmtId="0" fontId="34" fillId="0" borderId="3" xfId="1758" applyFont="1" applyBorder="1" applyAlignment="1">
      <alignment vertical="center"/>
    </xf>
    <xf numFmtId="9" fontId="214" fillId="50" borderId="3" xfId="0" applyNumberFormat="1" applyFont="1" applyFill="1" applyBorder="1" applyAlignment="1">
      <alignment horizontal="right" vertical="center"/>
    </xf>
    <xf numFmtId="0" fontId="209" fillId="53" borderId="3" xfId="0" applyFont="1" applyFill="1" applyBorder="1" applyAlignment="1">
      <alignment horizontal="left" vertical="center" wrapText="1"/>
    </xf>
    <xf numFmtId="0" fontId="209" fillId="51" borderId="3" xfId="0" applyFont="1" applyFill="1" applyBorder="1" applyAlignment="1">
      <alignment horizontal="left" vertical="center" wrapText="1"/>
    </xf>
    <xf numFmtId="3" fontId="209" fillId="51" borderId="0" xfId="1333" applyFont="1" applyFill="1" applyAlignment="1">
      <alignment horizontal="left" vertical="center" wrapText="1"/>
    </xf>
    <xf numFmtId="3" fontId="209" fillId="51" borderId="3" xfId="1333" applyFont="1" applyFill="1" applyBorder="1" applyAlignment="1">
      <alignment horizontal="left" vertical="center" wrapText="1"/>
    </xf>
    <xf numFmtId="3" fontId="210" fillId="50" borderId="3" xfId="1333" applyFont="1" applyFill="1" applyBorder="1" applyAlignment="1">
      <alignment horizontal="left" vertical="center" wrapText="1"/>
    </xf>
    <xf numFmtId="0" fontId="209" fillId="51" borderId="3" xfId="0" applyFont="1" applyFill="1" applyBorder="1" applyAlignment="1">
      <alignment horizontal="left" vertical="top" wrapText="1"/>
    </xf>
    <xf numFmtId="172" fontId="209" fillId="51" borderId="3" xfId="1764" applyNumberFormat="1" applyFont="1" applyFill="1" applyBorder="1" applyAlignment="1">
      <alignment horizontal="left" wrapText="1"/>
    </xf>
    <xf numFmtId="0" fontId="209" fillId="51" borderId="3" xfId="0" applyFont="1" applyFill="1" applyBorder="1" applyAlignment="1">
      <alignment horizontal="left" wrapText="1"/>
    </xf>
    <xf numFmtId="0" fontId="209" fillId="52" borderId="3" xfId="0" applyFont="1" applyFill="1" applyBorder="1" applyAlignment="1">
      <alignment horizontal="left" vertical="center" wrapText="1"/>
    </xf>
    <xf numFmtId="0" fontId="209" fillId="0" borderId="3" xfId="0" applyFont="1" applyBorder="1" applyAlignment="1">
      <alignment horizontal="left" wrapText="1"/>
    </xf>
    <xf numFmtId="3" fontId="209" fillId="50" borderId="3" xfId="1333" applyFont="1" applyFill="1" applyBorder="1" applyAlignment="1">
      <alignment vertical="center" wrapText="1"/>
    </xf>
    <xf numFmtId="0" fontId="5" fillId="0" borderId="12" xfId="0" applyFont="1" applyBorder="1" applyAlignment="1">
      <alignment horizontal="left" vertical="center" wrapText="1"/>
    </xf>
    <xf numFmtId="172" fontId="209" fillId="51" borderId="3" xfId="1764" applyNumberFormat="1" applyFont="1" applyFill="1" applyBorder="1" applyAlignment="1">
      <alignment horizontal="right"/>
    </xf>
    <xf numFmtId="14" fontId="5" fillId="0" borderId="0" xfId="1764" applyNumberFormat="1" applyFont="1"/>
    <xf numFmtId="3" fontId="208" fillId="51" borderId="0" xfId="1333" applyFont="1" applyFill="1" applyAlignment="1">
      <alignment horizontal="left" vertical="center"/>
    </xf>
    <xf numFmtId="3" fontId="227" fillId="51" borderId="0" xfId="1333" applyFont="1" applyFill="1" applyAlignment="1">
      <alignment horizontal="left" vertical="center"/>
    </xf>
    <xf numFmtId="3" fontId="208" fillId="0" borderId="0" xfId="1333" applyFont="1" applyAlignment="1">
      <alignment vertical="center"/>
    </xf>
    <xf numFmtId="3" fontId="227" fillId="0" borderId="0" xfId="1333" applyFont="1" applyAlignment="1">
      <alignment vertical="center"/>
    </xf>
    <xf numFmtId="0" fontId="224" fillId="0" borderId="0" xfId="0" applyFont="1" applyFill="1" applyAlignment="1">
      <alignment horizontal="center" vertical="center"/>
    </xf>
    <xf numFmtId="0" fontId="224" fillId="0" borderId="0" xfId="0" applyFont="1" applyFill="1" applyAlignment="1">
      <alignment vertical="center"/>
    </xf>
    <xf numFmtId="43" fontId="224" fillId="0" borderId="0" xfId="1764" applyFont="1" applyFill="1" applyAlignment="1">
      <alignment vertical="center"/>
    </xf>
    <xf numFmtId="172" fontId="224" fillId="0" borderId="0" xfId="1764" applyNumberFormat="1" applyFont="1" applyFill="1" applyAlignment="1">
      <alignment vertical="center"/>
    </xf>
    <xf numFmtId="0" fontId="34" fillId="0" borderId="0" xfId="0" applyFont="1" applyFill="1" applyAlignment="1">
      <alignment horizontal="center" vertical="center"/>
    </xf>
    <xf numFmtId="0" fontId="109" fillId="0" borderId="0" xfId="0" applyFont="1" applyFill="1" applyAlignment="1">
      <alignment horizontal="left" vertical="center"/>
    </xf>
    <xf numFmtId="0" fontId="228" fillId="0" borderId="0" xfId="0" applyFont="1" applyFill="1" applyAlignment="1">
      <alignment horizontal="left" vertical="center"/>
    </xf>
    <xf numFmtId="172" fontId="3" fillId="0" borderId="13" xfId="1764" applyNumberFormat="1" applyFont="1" applyFill="1" applyBorder="1" applyAlignment="1">
      <alignment vertical="center" wrapText="1"/>
    </xf>
    <xf numFmtId="0" fontId="109" fillId="0" borderId="0" xfId="0" applyFont="1" applyFill="1" applyAlignment="1">
      <alignment vertical="center"/>
    </xf>
    <xf numFmtId="0" fontId="109" fillId="0" borderId="0" xfId="0" applyFont="1" applyFill="1" applyAlignment="1">
      <alignment vertical="center" wrapText="1"/>
    </xf>
    <xf numFmtId="4" fontId="109" fillId="0" borderId="0" xfId="0" applyNumberFormat="1" applyFont="1" applyFill="1" applyAlignment="1">
      <alignment vertical="center" wrapText="1"/>
    </xf>
    <xf numFmtId="216" fontId="109" fillId="0" borderId="0" xfId="0" applyNumberFormat="1" applyFont="1" applyFill="1" applyAlignment="1">
      <alignment vertical="center" wrapText="1"/>
    </xf>
    <xf numFmtId="0" fontId="228" fillId="0" borderId="0" xfId="0" applyFont="1" applyFill="1" applyAlignment="1">
      <alignment vertical="center"/>
    </xf>
    <xf numFmtId="172" fontId="207" fillId="0" borderId="0" xfId="1764" applyNumberFormat="1" applyFont="1" applyAlignment="1">
      <alignment horizontal="left" vertical="center"/>
    </xf>
    <xf numFmtId="172" fontId="207" fillId="0" borderId="0" xfId="1764" applyNumberFormat="1" applyFont="1" applyAlignment="1">
      <alignment horizontal="center" vertical="center"/>
    </xf>
    <xf numFmtId="0" fontId="229" fillId="0" borderId="0" xfId="1758" applyFont="1" applyAlignment="1">
      <alignment horizontal="left" vertical="center"/>
    </xf>
    <xf numFmtId="0" fontId="7" fillId="0" borderId="0" xfId="0" applyFont="1" applyAlignment="1">
      <alignment horizontal="left"/>
    </xf>
    <xf numFmtId="0" fontId="230" fillId="0" borderId="0" xfId="0" applyFont="1" applyAlignment="1">
      <alignment horizontal="left"/>
    </xf>
    <xf numFmtId="0" fontId="5" fillId="0" borderId="0" xfId="0" applyFont="1" applyAlignment="1">
      <alignment horizontal="left"/>
    </xf>
    <xf numFmtId="0" fontId="34" fillId="51" borderId="3" xfId="0" applyFont="1" applyFill="1" applyBorder="1" applyAlignment="1">
      <alignment horizontal="center"/>
    </xf>
    <xf numFmtId="172" fontId="209" fillId="0" borderId="3" xfId="1764" applyNumberFormat="1" applyFont="1" applyBorder="1" applyAlignment="1">
      <alignment horizontal="left"/>
    </xf>
    <xf numFmtId="14" fontId="209" fillId="0" borderId="3" xfId="1764" applyNumberFormat="1" applyFont="1" applyBorder="1" applyAlignment="1">
      <alignment horizontal="left"/>
    </xf>
    <xf numFmtId="0" fontId="34" fillId="0" borderId="3" xfId="0" applyFont="1" applyBorder="1" applyAlignment="1">
      <alignment horizontal="left"/>
    </xf>
    <xf numFmtId="0" fontId="230" fillId="0" borderId="0" xfId="0" applyFont="1"/>
    <xf numFmtId="0" fontId="208" fillId="0" borderId="3" xfId="0" applyFont="1" applyBorder="1" applyAlignment="1">
      <alignment horizontal="center" vertical="center"/>
    </xf>
    <xf numFmtId="0" fontId="230" fillId="0" borderId="0" xfId="0" applyFont="1" applyFill="1" applyAlignment="1">
      <alignment vertical="center"/>
    </xf>
    <xf numFmtId="3" fontId="209" fillId="0" borderId="3" xfId="1333" applyFont="1" applyBorder="1" applyAlignment="1">
      <alignment horizontal="center" vertical="center" wrapText="1"/>
    </xf>
    <xf numFmtId="205" fontId="212" fillId="0" borderId="3" xfId="0" applyNumberFormat="1" applyFont="1" applyFill="1" applyBorder="1" applyAlignment="1">
      <alignment horizontal="right" vertical="center"/>
    </xf>
    <xf numFmtId="0" fontId="208" fillId="0" borderId="0" xfId="0" applyFont="1" applyAlignment="1">
      <alignment horizontal="left"/>
    </xf>
    <xf numFmtId="0" fontId="231" fillId="0" borderId="0" xfId="1752" applyFont="1"/>
    <xf numFmtId="172" fontId="231" fillId="0" borderId="0" xfId="1764" applyNumberFormat="1" applyFont="1" applyAlignment="1">
      <alignment horizontal="center"/>
    </xf>
    <xf numFmtId="0" fontId="232" fillId="0" borderId="0" xfId="0" applyFont="1"/>
    <xf numFmtId="0" fontId="227" fillId="0" borderId="0" xfId="0" applyFont="1" applyAlignment="1">
      <alignment horizontal="left"/>
    </xf>
    <xf numFmtId="0" fontId="219" fillId="0" borderId="0" xfId="1752" applyFont="1" applyAlignment="1">
      <alignment horizontal="center" vertical="center" wrapText="1"/>
    </xf>
    <xf numFmtId="0" fontId="219" fillId="0" borderId="0" xfId="1752" applyFont="1" applyAlignment="1">
      <alignment horizontal="center" vertical="center"/>
    </xf>
    <xf numFmtId="172" fontId="219" fillId="0" borderId="0" xfId="1764" applyNumberFormat="1" applyFont="1" applyAlignment="1">
      <alignment horizontal="center" vertical="center"/>
    </xf>
    <xf numFmtId="0" fontId="208" fillId="0" borderId="0" xfId="0" applyFont="1"/>
    <xf numFmtId="172" fontId="4" fillId="0" borderId="3" xfId="1764" applyNumberFormat="1" applyFont="1" applyBorder="1" applyAlignment="1">
      <alignment horizontal="center" vertical="center" wrapText="1"/>
    </xf>
    <xf numFmtId="0" fontId="4" fillId="0" borderId="0" xfId="0" applyFont="1"/>
    <xf numFmtId="0" fontId="4" fillId="0" borderId="3" xfId="1752" applyFont="1" applyBorder="1" applyAlignment="1">
      <alignment horizontal="center"/>
    </xf>
    <xf numFmtId="0" fontId="4" fillId="0" borderId="3" xfId="0" applyFont="1" applyBorder="1" applyAlignment="1"/>
    <xf numFmtId="172" fontId="4" fillId="0" borderId="3" xfId="1764" applyNumberFormat="1" applyFont="1" applyBorder="1" applyAlignment="1">
      <alignment horizontal="center"/>
    </xf>
    <xf numFmtId="0" fontId="4" fillId="0" borderId="3" xfId="0" applyFont="1" applyBorder="1" applyAlignment="1">
      <alignment horizontal="center"/>
    </xf>
    <xf numFmtId="0" fontId="4" fillId="0" borderId="0" xfId="0" applyFont="1" applyAlignment="1"/>
    <xf numFmtId="0" fontId="208" fillId="0" borderId="3" xfId="1752" applyFont="1" applyBorder="1" applyAlignment="1">
      <alignment horizontal="center" vertical="center"/>
    </xf>
    <xf numFmtId="0" fontId="208" fillId="0" borderId="3" xfId="1752" applyFont="1" applyBorder="1" applyAlignment="1">
      <alignment vertical="center"/>
    </xf>
    <xf numFmtId="172" fontId="208" fillId="0" borderId="3" xfId="1764" applyNumberFormat="1" applyFont="1" applyBorder="1" applyAlignment="1">
      <alignment horizontal="center" vertical="center"/>
    </xf>
    <xf numFmtId="172" fontId="232" fillId="0" borderId="0" xfId="1764" applyNumberFormat="1" applyFont="1" applyAlignment="1">
      <alignment horizontal="center"/>
    </xf>
    <xf numFmtId="0" fontId="4" fillId="0" borderId="0" xfId="0" applyFont="1" applyAlignment="1">
      <alignment horizontal="left"/>
    </xf>
    <xf numFmtId="0" fontId="34" fillId="0" borderId="0" xfId="0" applyFont="1" applyAlignment="1">
      <alignment horizontal="left"/>
    </xf>
    <xf numFmtId="172" fontId="4" fillId="0" borderId="0" xfId="1764" applyNumberFormat="1" applyFont="1"/>
    <xf numFmtId="14" fontId="4" fillId="0" borderId="0" xfId="1764" applyNumberFormat="1" applyFont="1"/>
    <xf numFmtId="0" fontId="4" fillId="0" borderId="0" xfId="0" applyFont="1" applyAlignment="1">
      <alignment horizontal="center"/>
    </xf>
    <xf numFmtId="0" fontId="233" fillId="0" borderId="0" xfId="0" applyFont="1" applyBorder="1" applyAlignment="1">
      <alignment horizontal="center" vertical="center"/>
    </xf>
    <xf numFmtId="0" fontId="96" fillId="0" borderId="0" xfId="0" applyFont="1" applyBorder="1" applyAlignment="1">
      <alignment horizontal="left" vertical="center"/>
    </xf>
    <xf numFmtId="172" fontId="233" fillId="0" borderId="0" xfId="1764" applyNumberFormat="1" applyFont="1" applyBorder="1" applyAlignment="1">
      <alignment horizontal="center" vertical="center"/>
    </xf>
    <xf numFmtId="14" fontId="233" fillId="0" borderId="0" xfId="1764" applyNumberFormat="1" applyFont="1" applyBorder="1" applyAlignment="1">
      <alignment horizontal="center" vertical="center"/>
    </xf>
    <xf numFmtId="0" fontId="4" fillId="0" borderId="0" xfId="0" applyFont="1" applyAlignment="1">
      <alignment horizontal="center" vertical="center"/>
    </xf>
    <xf numFmtId="172" fontId="4" fillId="0" borderId="3" xfId="1764" applyNumberFormat="1" applyFont="1" applyBorder="1" applyAlignment="1">
      <alignment horizontal="center" vertical="center"/>
    </xf>
    <xf numFmtId="0" fontId="4" fillId="0" borderId="3" xfId="0" applyFont="1" applyBorder="1" applyAlignment="1">
      <alignment horizontal="center" vertical="center"/>
    </xf>
    <xf numFmtId="0" fontId="34" fillId="0" borderId="3" xfId="0" applyFont="1" applyBorder="1" applyAlignment="1">
      <alignment horizontal="left" vertical="center"/>
    </xf>
    <xf numFmtId="14" fontId="4" fillId="0" borderId="3" xfId="1764" applyNumberFormat="1" applyFont="1" applyBorder="1" applyAlignment="1">
      <alignment horizontal="center" vertical="center"/>
    </xf>
    <xf numFmtId="0" fontId="4" fillId="0" borderId="13" xfId="0" applyFont="1" applyBorder="1" applyAlignment="1">
      <alignment horizontal="center" vertical="center"/>
    </xf>
    <xf numFmtId="0" fontId="208" fillId="0" borderId="12" xfId="0" applyFont="1" applyBorder="1" applyAlignment="1">
      <alignment horizontal="center" vertical="center"/>
    </xf>
    <xf numFmtId="0" fontId="207" fillId="0" borderId="12" xfId="0" applyFont="1" applyBorder="1" applyAlignment="1">
      <alignment horizontal="left" vertical="center"/>
    </xf>
    <xf numFmtId="172" fontId="210" fillId="0" borderId="12" xfId="0" applyNumberFormat="1" applyFont="1" applyBorder="1" applyAlignment="1">
      <alignment horizontal="center" vertical="center"/>
    </xf>
    <xf numFmtId="172" fontId="210" fillId="0" borderId="12" xfId="1764" applyNumberFormat="1" applyFont="1" applyBorder="1" applyAlignment="1">
      <alignment horizontal="center" vertical="center"/>
    </xf>
    <xf numFmtId="172" fontId="210" fillId="0" borderId="3" xfId="0" applyNumberFormat="1" applyFont="1" applyBorder="1" applyAlignment="1">
      <alignment horizontal="center" vertical="center"/>
    </xf>
    <xf numFmtId="172" fontId="210" fillId="0" borderId="3" xfId="1764" applyNumberFormat="1" applyFont="1" applyBorder="1" applyAlignment="1">
      <alignment horizontal="center" vertical="center"/>
    </xf>
    <xf numFmtId="0" fontId="210" fillId="0" borderId="12" xfId="0" applyFont="1" applyBorder="1" applyAlignment="1">
      <alignment horizontal="center" vertical="center"/>
    </xf>
    <xf numFmtId="14" fontId="210" fillId="0" borderId="3" xfId="1764" applyNumberFormat="1" applyFont="1" applyBorder="1" applyAlignment="1">
      <alignment horizontal="center" vertical="center"/>
    </xf>
    <xf numFmtId="0" fontId="210" fillId="0" borderId="3"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34" fillId="0" borderId="12" xfId="0" applyFont="1" applyBorder="1" applyAlignment="1">
      <alignment horizontal="left" vertical="center"/>
    </xf>
    <xf numFmtId="172" fontId="209" fillId="0" borderId="12" xfId="0" applyNumberFormat="1" applyFont="1" applyBorder="1" applyAlignment="1">
      <alignment horizontal="left" vertical="center"/>
    </xf>
    <xf numFmtId="172" fontId="209" fillId="0" borderId="12" xfId="1764" applyNumberFormat="1" applyFont="1" applyBorder="1" applyAlignment="1">
      <alignment horizontal="left" vertical="center"/>
    </xf>
    <xf numFmtId="172" fontId="209" fillId="0" borderId="3" xfId="0" applyNumberFormat="1" applyFont="1" applyBorder="1" applyAlignment="1">
      <alignment horizontal="left" vertical="center"/>
    </xf>
    <xf numFmtId="0" fontId="34" fillId="0" borderId="3" xfId="0" applyFont="1" applyBorder="1" applyAlignment="1">
      <alignment horizontal="center"/>
    </xf>
    <xf numFmtId="0" fontId="34" fillId="0" borderId="3" xfId="0" applyFont="1" applyBorder="1" applyAlignment="1">
      <alignment horizontal="left" wrapText="1"/>
    </xf>
    <xf numFmtId="14" fontId="34" fillId="51" borderId="3" xfId="0" applyNumberFormat="1" applyFont="1" applyFill="1" applyBorder="1" applyAlignment="1">
      <alignment horizontal="left" wrapText="1"/>
    </xf>
    <xf numFmtId="172" fontId="209" fillId="0" borderId="3" xfId="1764" applyNumberFormat="1" applyFont="1" applyBorder="1" applyAlignment="1"/>
    <xf numFmtId="172" fontId="209" fillId="51" borderId="3" xfId="1764" applyNumberFormat="1" applyFont="1" applyFill="1" applyBorder="1" applyAlignment="1">
      <alignment horizontal="left"/>
    </xf>
    <xf numFmtId="0" fontId="34" fillId="0" borderId="0" xfId="0" applyFont="1" applyAlignment="1"/>
    <xf numFmtId="172" fontId="209" fillId="51" borderId="3" xfId="1764" applyNumberFormat="1" applyFont="1" applyFill="1" applyBorder="1" applyAlignment="1"/>
    <xf numFmtId="14" fontId="209" fillId="0" borderId="3" xfId="1764" applyNumberFormat="1" applyFont="1" applyBorder="1" applyAlignment="1"/>
    <xf numFmtId="0" fontId="34" fillId="0" borderId="3" xfId="0" applyFont="1" applyBorder="1" applyAlignment="1"/>
    <xf numFmtId="0" fontId="34" fillId="51" borderId="3" xfId="0" quotePrefix="1" applyFont="1" applyFill="1" applyBorder="1" applyAlignment="1">
      <alignment horizontal="center"/>
    </xf>
    <xf numFmtId="172" fontId="4" fillId="0" borderId="0" xfId="0" applyNumberFormat="1" applyFont="1"/>
    <xf numFmtId="3" fontId="4" fillId="0" borderId="0" xfId="1333" applyFont="1" applyAlignment="1">
      <alignment horizontal="right" vertical="center"/>
    </xf>
    <xf numFmtId="3" fontId="207" fillId="0" borderId="3" xfId="1333" applyFont="1" applyBorder="1" applyAlignment="1">
      <alignment horizontal="right" vertical="center" wrapText="1"/>
    </xf>
    <xf numFmtId="3" fontId="210" fillId="50" borderId="3" xfId="1333" applyFont="1" applyFill="1" applyBorder="1" applyAlignment="1">
      <alignment horizontal="right" vertical="center" wrapText="1"/>
    </xf>
    <xf numFmtId="3" fontId="209" fillId="0" borderId="3" xfId="1333" applyFont="1" applyBorder="1" applyAlignment="1">
      <alignment horizontal="right" vertical="center" wrapText="1"/>
    </xf>
    <xf numFmtId="3" fontId="4" fillId="0" borderId="0" xfId="1333" applyAlignment="1">
      <alignment horizontal="right" vertical="center" wrapText="1"/>
    </xf>
    <xf numFmtId="3" fontId="4" fillId="0" borderId="4" xfId="1333" applyFont="1" applyBorder="1" applyAlignment="1">
      <alignment horizontal="right" vertical="center" wrapText="1"/>
    </xf>
    <xf numFmtId="0" fontId="207" fillId="0" borderId="3" xfId="0" applyFont="1" applyFill="1" applyBorder="1" applyAlignment="1">
      <alignment horizontal="center" vertical="center" wrapText="1"/>
    </xf>
    <xf numFmtId="3" fontId="207" fillId="0" borderId="3" xfId="1" applyNumberFormat="1" applyFont="1" applyFill="1" applyBorder="1" applyAlignment="1">
      <alignment horizontal="center" vertical="center" wrapText="1"/>
    </xf>
    <xf numFmtId="3" fontId="34" fillId="0" borderId="3" xfId="1" applyNumberFormat="1" applyFont="1" applyFill="1" applyBorder="1" applyAlignment="1">
      <alignment horizontal="center" vertical="center" wrapText="1"/>
    </xf>
    <xf numFmtId="0" fontId="7" fillId="0" borderId="0" xfId="0" applyFont="1" applyFill="1" applyAlignment="1">
      <alignment horizontal="center"/>
    </xf>
    <xf numFmtId="3" fontId="207" fillId="0" borderId="43" xfId="1" applyNumberFormat="1" applyFont="1" applyFill="1" applyBorder="1" applyAlignment="1">
      <alignment horizontal="center" vertical="center" wrapText="1"/>
    </xf>
    <xf numFmtId="3" fontId="207" fillId="0" borderId="44" xfId="1" applyNumberFormat="1" applyFont="1" applyFill="1" applyBorder="1" applyAlignment="1">
      <alignment horizontal="center" vertical="center" wrapText="1"/>
    </xf>
    <xf numFmtId="3" fontId="207" fillId="0" borderId="45" xfId="1" applyNumberFormat="1" applyFont="1" applyFill="1" applyBorder="1" applyAlignment="1">
      <alignment horizontal="center" vertical="center" wrapText="1"/>
    </xf>
    <xf numFmtId="3" fontId="207" fillId="0" borderId="14" xfId="1" applyNumberFormat="1" applyFont="1" applyFill="1" applyBorder="1" applyAlignment="1">
      <alignment horizontal="center" vertical="center" wrapText="1"/>
    </xf>
    <xf numFmtId="3" fontId="207" fillId="0" borderId="4" xfId="1" applyNumberFormat="1" applyFont="1" applyFill="1" applyBorder="1" applyAlignment="1">
      <alignment horizontal="center" vertical="center" wrapText="1"/>
    </xf>
    <xf numFmtId="3" fontId="207" fillId="0" borderId="46" xfId="1" applyNumberFormat="1" applyFont="1" applyFill="1" applyBorder="1" applyAlignment="1">
      <alignment horizontal="center" vertical="center" wrapText="1"/>
    </xf>
    <xf numFmtId="0" fontId="7" fillId="0" borderId="0" xfId="0" applyFont="1" applyFill="1" applyAlignment="1">
      <alignment horizontal="center" vertical="center" wrapText="1"/>
    </xf>
    <xf numFmtId="10" fontId="207" fillId="0" borderId="3"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3" fontId="208" fillId="51" borderId="0" xfId="1333" applyFont="1" applyFill="1" applyAlignment="1">
      <alignment horizontal="center" vertical="center"/>
    </xf>
    <xf numFmtId="3" fontId="211" fillId="51" borderId="4" xfId="1333" applyFont="1" applyFill="1" applyBorder="1" applyAlignment="1">
      <alignment horizontal="center" vertical="center"/>
    </xf>
    <xf numFmtId="3" fontId="210" fillId="51" borderId="3" xfId="1333" applyFont="1" applyFill="1" applyBorder="1" applyAlignment="1">
      <alignment horizontal="center" vertical="center" wrapText="1"/>
    </xf>
    <xf numFmtId="3" fontId="3" fillId="51" borderId="3" xfId="1333" applyFont="1" applyFill="1" applyBorder="1" applyAlignment="1">
      <alignment horizontal="center" vertical="center" wrapText="1"/>
    </xf>
    <xf numFmtId="3" fontId="209" fillId="51" borderId="3" xfId="1333" applyFont="1" applyFill="1" applyBorder="1" applyAlignment="1">
      <alignment horizontal="center" vertical="center" wrapText="1"/>
    </xf>
    <xf numFmtId="3" fontId="209" fillId="51" borderId="13" xfId="1333" applyFont="1" applyFill="1" applyBorder="1" applyAlignment="1">
      <alignment horizontal="center" vertical="center" wrapText="1"/>
    </xf>
    <xf numFmtId="3" fontId="209" fillId="51" borderId="31" xfId="1333" applyFont="1" applyFill="1" applyBorder="1" applyAlignment="1">
      <alignment horizontal="center" vertical="center" wrapText="1"/>
    </xf>
    <xf numFmtId="3" fontId="209" fillId="51" borderId="12" xfId="1333" applyFont="1" applyFill="1" applyBorder="1" applyAlignment="1">
      <alignment horizontal="center" vertical="center" wrapText="1"/>
    </xf>
    <xf numFmtId="3" fontId="3" fillId="0" borderId="3" xfId="1333" applyFont="1" applyBorder="1" applyAlignment="1">
      <alignment horizontal="center" vertical="center" wrapText="1"/>
    </xf>
    <xf numFmtId="3" fontId="208" fillId="0" borderId="0" xfId="1333" applyFont="1" applyAlignment="1">
      <alignment horizontal="center" vertical="center" wrapText="1"/>
    </xf>
    <xf numFmtId="3" fontId="208" fillId="0" borderId="0" xfId="1333" applyFont="1" applyAlignment="1">
      <alignment horizontal="center" vertical="center"/>
    </xf>
    <xf numFmtId="3" fontId="209" fillId="0" borderId="3" xfId="1333" applyFont="1" applyBorder="1" applyAlignment="1">
      <alignment horizontal="center" vertical="center" wrapText="1"/>
    </xf>
    <xf numFmtId="3" fontId="211" fillId="0" borderId="0" xfId="1751" applyFont="1" applyAlignment="1">
      <alignment horizontal="center" vertical="center" wrapText="1"/>
    </xf>
    <xf numFmtId="3" fontId="208" fillId="0" borderId="0" xfId="1751" applyFont="1" applyAlignment="1">
      <alignment horizontal="center" vertical="center" wrapText="1"/>
    </xf>
    <xf numFmtId="3" fontId="4" fillId="0" borderId="0" xfId="1333" applyAlignment="1">
      <alignment horizontal="center" vertical="center" wrapText="1"/>
    </xf>
    <xf numFmtId="0" fontId="34" fillId="0" borderId="3" xfId="0" applyFont="1" applyFill="1" applyBorder="1" applyAlignment="1">
      <alignment horizontal="center" vertical="center" wrapText="1"/>
    </xf>
    <xf numFmtId="0" fontId="208" fillId="0" borderId="0" xfId="0" applyFont="1" applyFill="1" applyAlignment="1">
      <alignment horizontal="center" vertical="center"/>
    </xf>
    <xf numFmtId="0" fontId="208" fillId="0" borderId="0" xfId="0" applyFont="1" applyFill="1" applyAlignment="1">
      <alignment horizontal="center" vertical="center" wrapText="1"/>
    </xf>
    <xf numFmtId="0" fontId="34" fillId="0" borderId="13" xfId="0" applyFont="1" applyFill="1" applyBorder="1" applyAlignment="1">
      <alignment horizontal="center" vertical="center" wrapText="1"/>
    </xf>
    <xf numFmtId="0" fontId="34" fillId="0" borderId="31" xfId="0" applyFont="1" applyFill="1" applyBorder="1" applyAlignment="1">
      <alignment horizontal="center" vertical="center" wrapText="1"/>
    </xf>
    <xf numFmtId="172" fontId="34" fillId="0" borderId="13" xfId="1764" applyNumberFormat="1" applyFont="1" applyFill="1" applyBorder="1" applyAlignment="1">
      <alignment horizontal="center" vertical="center" wrapText="1"/>
    </xf>
    <xf numFmtId="172" fontId="34" fillId="0" borderId="31" xfId="1764" applyNumberFormat="1" applyFont="1" applyFill="1" applyBorder="1" applyAlignment="1">
      <alignment horizontal="center" vertical="center" wrapText="1"/>
    </xf>
    <xf numFmtId="0" fontId="208" fillId="0" borderId="0" xfId="1758" applyFont="1" applyAlignment="1">
      <alignment horizontal="center" vertical="center"/>
    </xf>
    <xf numFmtId="4" fontId="208" fillId="0" borderId="0" xfId="0" applyNumberFormat="1" applyFont="1" applyFill="1" applyAlignment="1">
      <alignment horizontal="center" vertical="center" wrapText="1"/>
    </xf>
    <xf numFmtId="0" fontId="34" fillId="0" borderId="12" xfId="0" applyFont="1" applyFill="1" applyBorder="1" applyAlignment="1">
      <alignment horizontal="center" vertical="center" wrapText="1"/>
    </xf>
    <xf numFmtId="4" fontId="34" fillId="0" borderId="3" xfId="0" applyNumberFormat="1" applyFont="1" applyFill="1" applyBorder="1" applyAlignment="1">
      <alignment horizontal="center" vertical="center" wrapText="1"/>
    </xf>
    <xf numFmtId="4" fontId="209" fillId="0" borderId="13" xfId="0" applyNumberFormat="1" applyFont="1" applyFill="1" applyBorder="1" applyAlignment="1">
      <alignment horizontal="center" vertical="center" wrapText="1"/>
    </xf>
    <xf numFmtId="4" fontId="209" fillId="0" borderId="31" xfId="0" applyNumberFormat="1" applyFont="1" applyFill="1" applyBorder="1" applyAlignment="1">
      <alignment horizontal="center" vertical="center" wrapText="1"/>
    </xf>
    <xf numFmtId="4" fontId="209" fillId="0" borderId="12" xfId="0" applyNumberFormat="1" applyFont="1" applyFill="1" applyBorder="1" applyAlignment="1">
      <alignment horizontal="center" vertical="center" wrapText="1"/>
    </xf>
    <xf numFmtId="4" fontId="34" fillId="0" borderId="26" xfId="0" applyNumberFormat="1" applyFont="1" applyFill="1" applyBorder="1" applyAlignment="1">
      <alignment horizontal="center" vertical="center" wrapText="1"/>
    </xf>
    <xf numFmtId="4" fontId="34" fillId="0" borderId="47" xfId="0" applyNumberFormat="1" applyFont="1" applyFill="1" applyBorder="1" applyAlignment="1">
      <alignment horizontal="center" vertical="center" wrapText="1"/>
    </xf>
    <xf numFmtId="216" fontId="34" fillId="0" borderId="13" xfId="0" applyNumberFormat="1" applyFont="1" applyFill="1" applyBorder="1" applyAlignment="1">
      <alignment horizontal="center" vertical="center" wrapText="1"/>
    </xf>
    <xf numFmtId="216" fontId="34" fillId="0" borderId="31" xfId="0" applyNumberFormat="1" applyFont="1" applyFill="1" applyBorder="1" applyAlignment="1">
      <alignment horizontal="center" vertical="center" wrapText="1"/>
    </xf>
    <xf numFmtId="216" fontId="34" fillId="0" borderId="12" xfId="0" applyNumberFormat="1" applyFont="1" applyFill="1" applyBorder="1" applyAlignment="1">
      <alignment horizontal="center" vertical="center" wrapText="1"/>
    </xf>
    <xf numFmtId="216" fontId="34" fillId="0" borderId="26" xfId="0" applyNumberFormat="1" applyFont="1" applyFill="1" applyBorder="1" applyAlignment="1">
      <alignment horizontal="center" vertical="center" wrapText="1"/>
    </xf>
    <xf numFmtId="216" fontId="34" fillId="0" borderId="24" xfId="0" applyNumberFormat="1" applyFont="1" applyFill="1" applyBorder="1" applyAlignment="1">
      <alignment horizontal="center" vertical="center" wrapText="1"/>
    </xf>
    <xf numFmtId="216" fontId="34" fillId="0" borderId="47" xfId="0" applyNumberFormat="1" applyFont="1" applyFill="1" applyBorder="1" applyAlignment="1">
      <alignment horizontal="center" vertical="center" wrapText="1"/>
    </xf>
    <xf numFmtId="4" fontId="34" fillId="0" borderId="13" xfId="0" applyNumberFormat="1" applyFont="1" applyFill="1" applyBorder="1" applyAlignment="1">
      <alignment horizontal="center" vertical="center" wrapText="1"/>
    </xf>
    <xf numFmtId="4" fontId="34" fillId="0" borderId="12" xfId="0" applyNumberFormat="1" applyFont="1" applyFill="1" applyBorder="1" applyAlignment="1">
      <alignment horizontal="center" vertical="center" wrapText="1"/>
    </xf>
    <xf numFmtId="216" fontId="209" fillId="0" borderId="13" xfId="0" applyNumberFormat="1" applyFont="1" applyFill="1" applyBorder="1" applyAlignment="1">
      <alignment horizontal="center" vertical="center" wrapText="1"/>
    </xf>
    <xf numFmtId="216" fontId="209" fillId="0" borderId="12" xfId="0" applyNumberFormat="1" applyFont="1" applyFill="1" applyBorder="1" applyAlignment="1">
      <alignment horizontal="center" vertical="center" wrapText="1"/>
    </xf>
    <xf numFmtId="216" fontId="34" fillId="0" borderId="3" xfId="0" applyNumberFormat="1" applyFont="1" applyFill="1" applyBorder="1" applyAlignment="1">
      <alignment horizontal="center" vertical="center" wrapText="1"/>
    </xf>
    <xf numFmtId="0" fontId="4" fillId="0" borderId="0" xfId="1758" applyFont="1" applyAlignment="1">
      <alignment horizontal="center" vertical="center"/>
    </xf>
    <xf numFmtId="0" fontId="208" fillId="0" borderId="0" xfId="1758" applyFont="1" applyAlignment="1">
      <alignment horizontal="center" vertical="center" wrapText="1"/>
    </xf>
    <xf numFmtId="0" fontId="34" fillId="0" borderId="3" xfId="1758" applyFont="1" applyBorder="1" applyAlignment="1">
      <alignment horizontal="center" vertical="center" wrapText="1"/>
    </xf>
    <xf numFmtId="172" fontId="34" fillId="0" borderId="3" xfId="1764" applyNumberFormat="1" applyFont="1" applyBorder="1" applyAlignment="1">
      <alignment horizontal="center" vertical="center" wrapText="1"/>
    </xf>
    <xf numFmtId="0" fontId="96" fillId="0" borderId="3" xfId="1758" applyFont="1" applyBorder="1" applyAlignment="1">
      <alignment horizontal="center" vertical="center" wrapText="1"/>
    </xf>
    <xf numFmtId="0" fontId="7" fillId="0" borderId="0" xfId="0" applyFont="1" applyFill="1" applyBorder="1" applyAlignment="1">
      <alignment horizontal="left" vertical="center" wrapText="1"/>
    </xf>
    <xf numFmtId="0" fontId="208" fillId="0" borderId="3" xfId="0" applyFont="1" applyBorder="1" applyAlignment="1">
      <alignment horizontal="center" vertical="center"/>
    </xf>
    <xf numFmtId="0" fontId="215" fillId="0" borderId="13" xfId="0" applyFont="1" applyBorder="1" applyAlignment="1">
      <alignment horizontal="center" vertical="center" wrapText="1"/>
    </xf>
    <xf numFmtId="0" fontId="215" fillId="0" borderId="31" xfId="0" applyFont="1" applyBorder="1" applyAlignment="1">
      <alignment horizontal="center" vertical="center" wrapText="1"/>
    </xf>
    <xf numFmtId="0" fontId="215" fillId="0" borderId="1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223" fillId="0" borderId="3" xfId="0" applyFont="1" applyBorder="1" applyAlignment="1">
      <alignment horizontal="center" vertical="center" wrapText="1"/>
    </xf>
    <xf numFmtId="0" fontId="225" fillId="0" borderId="0" xfId="0" applyFont="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3" xfId="0" applyFont="1" applyBorder="1" applyAlignment="1">
      <alignment horizontal="justify"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7" xfId="0" applyFont="1" applyBorder="1" applyAlignment="1">
      <alignment horizontal="center" vertical="center" wrapText="1"/>
    </xf>
    <xf numFmtId="0" fontId="218" fillId="0" borderId="0" xfId="0" applyFont="1" applyAlignment="1">
      <alignment horizontal="center" vertical="center" wrapText="1"/>
    </xf>
    <xf numFmtId="0" fontId="216" fillId="0" borderId="0" xfId="0" applyFont="1" applyBorder="1" applyAlignment="1">
      <alignment horizontal="center" vertical="center"/>
    </xf>
    <xf numFmtId="0" fontId="7" fillId="0" borderId="4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47" xfId="0" applyFont="1" applyBorder="1" applyAlignment="1">
      <alignment horizontal="center" vertical="center"/>
    </xf>
    <xf numFmtId="0" fontId="7" fillId="0" borderId="3" xfId="0" applyFont="1" applyBorder="1" applyAlignment="1">
      <alignment horizontal="center" vertical="center" wrapText="1"/>
    </xf>
    <xf numFmtId="14" fontId="4" fillId="0" borderId="13" xfId="1764" applyNumberFormat="1" applyFont="1" applyBorder="1" applyAlignment="1">
      <alignment horizontal="center" vertical="center" wrapText="1"/>
    </xf>
    <xf numFmtId="14" fontId="4" fillId="0" borderId="31" xfId="1764" applyNumberFormat="1" applyFont="1" applyBorder="1" applyAlignment="1">
      <alignment horizontal="center" vertical="center" wrapText="1"/>
    </xf>
    <xf numFmtId="14" fontId="4" fillId="0" borderId="12" xfId="1764" applyNumberFormat="1" applyFont="1" applyBorder="1" applyAlignment="1">
      <alignment horizontal="center" vertical="center" wrapText="1"/>
    </xf>
    <xf numFmtId="172" fontId="208" fillId="0" borderId="26" xfId="1764" applyNumberFormat="1" applyFont="1" applyBorder="1" applyAlignment="1">
      <alignment horizontal="center" vertical="center" wrapText="1"/>
    </xf>
    <xf numFmtId="172" fontId="208" fillId="0" borderId="47" xfId="1764" applyNumberFormat="1" applyFont="1" applyBorder="1" applyAlignment="1">
      <alignment horizontal="center" vertical="center" wrapText="1"/>
    </xf>
    <xf numFmtId="0" fontId="208" fillId="0" borderId="3" xfId="0" applyFont="1" applyBorder="1" applyAlignment="1">
      <alignment horizontal="center" vertical="center" wrapText="1"/>
    </xf>
    <xf numFmtId="172" fontId="4" fillId="0" borderId="13" xfId="1764" applyNumberFormat="1" applyFont="1" applyBorder="1" applyAlignment="1">
      <alignment horizontal="center" vertical="center"/>
    </xf>
    <xf numFmtId="172" fontId="4" fillId="0" borderId="31" xfId="1764" applyNumberFormat="1" applyFont="1" applyBorder="1" applyAlignment="1">
      <alignment horizontal="center" vertical="center"/>
    </xf>
    <xf numFmtId="172" fontId="4" fillId="0" borderId="12" xfId="1764" applyNumberFormat="1" applyFont="1" applyBorder="1" applyAlignment="1">
      <alignment horizontal="center" vertical="center"/>
    </xf>
    <xf numFmtId="0" fontId="208" fillId="0" borderId="26" xfId="0" applyFont="1" applyBorder="1" applyAlignment="1">
      <alignment horizontal="center" vertical="center"/>
    </xf>
    <xf numFmtId="0" fontId="208" fillId="0" borderId="24" xfId="0" applyFont="1" applyBorder="1" applyAlignment="1">
      <alignment horizontal="center" vertical="center"/>
    </xf>
    <xf numFmtId="0" fontId="208" fillId="0" borderId="47" xfId="0" applyFont="1" applyBorder="1" applyAlignment="1">
      <alignment horizontal="center" vertical="center"/>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226" fillId="0" borderId="0" xfId="0" applyFont="1" applyAlignment="1">
      <alignment horizontal="center"/>
    </xf>
    <xf numFmtId="0" fontId="219" fillId="0" borderId="0" xfId="0" applyFont="1" applyAlignment="1">
      <alignment horizontal="center" vertical="center" wrapText="1"/>
    </xf>
    <xf numFmtId="0" fontId="208" fillId="0" borderId="13" xfId="0" applyFont="1" applyBorder="1" applyAlignment="1">
      <alignment horizontal="center" vertical="center"/>
    </xf>
    <xf numFmtId="0" fontId="208" fillId="0" borderId="31" xfId="0" applyFont="1" applyBorder="1" applyAlignment="1">
      <alignment horizontal="center" vertical="center"/>
    </xf>
    <xf numFmtId="0" fontId="208" fillId="0" borderId="12" xfId="0" applyFont="1" applyBorder="1" applyAlignment="1">
      <alignment horizontal="center" vertical="center"/>
    </xf>
    <xf numFmtId="0" fontId="208" fillId="0" borderId="13" xfId="0" applyFont="1" applyBorder="1" applyAlignment="1">
      <alignment horizontal="center" vertical="center" wrapText="1"/>
    </xf>
    <xf numFmtId="0" fontId="208" fillId="0" borderId="31" xfId="0" applyFont="1" applyBorder="1" applyAlignment="1">
      <alignment horizontal="center" vertical="center" wrapText="1"/>
    </xf>
    <xf numFmtId="0" fontId="208"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34" fillId="0" borderId="13"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31" xfId="0" applyFont="1" applyBorder="1" applyAlignment="1">
      <alignment horizontal="center" vertical="center" wrapText="1"/>
    </xf>
    <xf numFmtId="0" fontId="208" fillId="0" borderId="26" xfId="0" applyFont="1" applyBorder="1" applyAlignment="1">
      <alignment horizontal="center" vertical="center" wrapText="1"/>
    </xf>
    <xf numFmtId="0" fontId="208" fillId="0" borderId="24" xfId="0" applyFont="1" applyBorder="1" applyAlignment="1">
      <alignment horizontal="center" vertical="center" wrapText="1"/>
    </xf>
    <xf numFmtId="0" fontId="208" fillId="0" borderId="47" xfId="0" applyFont="1" applyBorder="1" applyAlignment="1">
      <alignment horizontal="center" vertical="center" wrapText="1"/>
    </xf>
    <xf numFmtId="172" fontId="208" fillId="0" borderId="26" xfId="1764" applyNumberFormat="1" applyFont="1" applyBorder="1" applyAlignment="1">
      <alignment horizontal="center" vertical="center"/>
    </xf>
    <xf numFmtId="172" fontId="208" fillId="0" borderId="24" xfId="1764" applyNumberFormat="1" applyFont="1" applyBorder="1" applyAlignment="1">
      <alignment horizontal="center" vertical="center"/>
    </xf>
    <xf numFmtId="172" fontId="208" fillId="0" borderId="47" xfId="1764" applyNumberFormat="1" applyFont="1" applyBorder="1" applyAlignment="1">
      <alignment horizontal="center" vertical="center"/>
    </xf>
    <xf numFmtId="172" fontId="4" fillId="0" borderId="13" xfId="1764" applyNumberFormat="1" applyFont="1" applyBorder="1" applyAlignment="1">
      <alignment horizontal="center" vertical="center" wrapText="1"/>
    </xf>
    <xf numFmtId="172" fontId="4" fillId="0" borderId="12" xfId="1764" applyNumberFormat="1" applyFont="1" applyBorder="1" applyAlignment="1">
      <alignment horizontal="center" vertical="center" wrapText="1"/>
    </xf>
    <xf numFmtId="172" fontId="4" fillId="0" borderId="3" xfId="1764" applyNumberFormat="1" applyFont="1" applyBorder="1" applyAlignment="1">
      <alignment horizontal="center" vertical="center" wrapText="1"/>
    </xf>
    <xf numFmtId="0" fontId="218" fillId="0" borderId="0" xfId="1752" applyFont="1" applyAlignment="1">
      <alignment horizontal="center" vertical="center" wrapText="1"/>
    </xf>
    <xf numFmtId="0" fontId="218" fillId="0" borderId="0" xfId="1752" applyFont="1" applyAlignment="1">
      <alignment horizontal="center" vertical="center"/>
    </xf>
    <xf numFmtId="0" fontId="7" fillId="0" borderId="26" xfId="1752" applyFont="1" applyBorder="1" applyAlignment="1">
      <alignment horizontal="center" vertical="center"/>
    </xf>
    <xf numFmtId="0" fontId="7" fillId="0" borderId="24" xfId="1752" applyFont="1" applyBorder="1" applyAlignment="1">
      <alignment horizontal="center" vertical="center"/>
    </xf>
    <xf numFmtId="0" fontId="7" fillId="0" borderId="47" xfId="1752" applyFont="1" applyBorder="1" applyAlignment="1">
      <alignment horizontal="center" vertical="center"/>
    </xf>
    <xf numFmtId="0" fontId="7" fillId="0" borderId="3" xfId="1752" applyFont="1" applyBorder="1" applyAlignment="1">
      <alignment horizontal="center" vertical="center"/>
    </xf>
    <xf numFmtId="0" fontId="7" fillId="0" borderId="13" xfId="1752" applyFont="1" applyBorder="1" applyAlignment="1">
      <alignment horizontal="center" vertical="center" wrapText="1"/>
    </xf>
    <xf numFmtId="0" fontId="7" fillId="0" borderId="31" xfId="1752" applyFont="1" applyBorder="1" applyAlignment="1">
      <alignment horizontal="center" vertical="center" wrapText="1"/>
    </xf>
    <xf numFmtId="0" fontId="7" fillId="0" borderId="12" xfId="1752" applyFont="1" applyBorder="1" applyAlignment="1">
      <alignment horizontal="center" vertical="center" wrapText="1"/>
    </xf>
    <xf numFmtId="0" fontId="7" fillId="0" borderId="3" xfId="1752" applyFont="1" applyBorder="1" applyAlignment="1">
      <alignment horizontal="center" vertical="center" wrapText="1"/>
    </xf>
    <xf numFmtId="0" fontId="219" fillId="0" borderId="0" xfId="1752" applyFont="1" applyAlignment="1">
      <alignment horizontal="center" vertical="center" wrapText="1"/>
    </xf>
    <xf numFmtId="0" fontId="219" fillId="0" borderId="0" xfId="1752" applyFont="1" applyAlignment="1">
      <alignment horizontal="center" vertical="center"/>
    </xf>
    <xf numFmtId="0" fontId="208" fillId="0" borderId="3" xfId="1752" applyFont="1" applyBorder="1" applyAlignment="1">
      <alignment horizontal="center" vertical="center"/>
    </xf>
    <xf numFmtId="0" fontId="208" fillId="0" borderId="3" xfId="1752" applyFont="1" applyBorder="1" applyAlignment="1">
      <alignment horizontal="center" vertical="center" wrapText="1"/>
    </xf>
    <xf numFmtId="0" fontId="208" fillId="0" borderId="26" xfId="1752" applyFont="1" applyBorder="1" applyAlignment="1">
      <alignment horizontal="center" vertical="center" wrapText="1"/>
    </xf>
    <xf numFmtId="0" fontId="208" fillId="0" borderId="24" xfId="1752" applyFont="1" applyBorder="1" applyAlignment="1">
      <alignment horizontal="center" vertical="center" wrapText="1"/>
    </xf>
    <xf numFmtId="0" fontId="208" fillId="0" borderId="47" xfId="1752" applyFont="1" applyBorder="1" applyAlignment="1">
      <alignment horizontal="center" vertical="center" wrapText="1"/>
    </xf>
    <xf numFmtId="172" fontId="208" fillId="0" borderId="3" xfId="1764" applyNumberFormat="1" applyFont="1" applyBorder="1" applyAlignment="1">
      <alignment horizontal="center" vertical="center" wrapText="1"/>
    </xf>
  </cellXfs>
  <cellStyles count="1765">
    <cellStyle name="_x0001_" xfId="2"/>
    <cellStyle name="          _x000d__x000a_shell=progman.exe_x000d__x000a_m" xfId="3"/>
    <cellStyle name="_x000d__x000a_JournalTemplate=C:\COMFO\CTALK\JOURSTD.TPL_x000d__x000a_LbStateAddress=3 3 0 251 1 89 2 311_x000d__x000a_LbStateJou" xfId="4"/>
    <cellStyle name="#,##0" xfId="5"/>
    <cellStyle name="%" xfId="6"/>
    <cellStyle name="%_Phụ luc goi 5" xfId="7"/>
    <cellStyle name="." xfId="8"/>
    <cellStyle name="??" xfId="9"/>
    <cellStyle name="?? [0.00]_      " xfId="10"/>
    <cellStyle name="?? [0]" xfId="11"/>
    <cellStyle name="?_x001d_??%U©÷u&amp;H©÷9_x0008_?_x0009_s_x000a__x0007__x0001__x0001_" xfId="12"/>
    <cellStyle name="???? [0.00]_      " xfId="13"/>
    <cellStyle name="??????" xfId="14"/>
    <cellStyle name="????_      " xfId="15"/>
    <cellStyle name="???[0]_?? DI" xfId="16"/>
    <cellStyle name="???_?? DI" xfId="17"/>
    <cellStyle name="???R쀀Àok1" xfId="18"/>
    <cellStyle name="??[0]_BRE" xfId="19"/>
    <cellStyle name="??_      " xfId="20"/>
    <cellStyle name="??A? [0]_laroux_1_¢¬???¢â? " xfId="21"/>
    <cellStyle name="??A?_laroux_1_¢¬???¢â? " xfId="22"/>
    <cellStyle name="?¡±¢¥?_?¨ù??¢´¢¥_¢¬???¢â? " xfId="23"/>
    <cellStyle name="_x0001_?¶æµ_x001b_ºß­ " xfId="24"/>
    <cellStyle name="_x0001_?¶æµ_x001b_ºß­_" xfId="25"/>
    <cellStyle name="?ðÇ%U?&amp;H?_x0008_?s_x000a__x0007__x0001__x0001_" xfId="26"/>
    <cellStyle name="[0]_Chi phÝ kh¸c_V" xfId="27"/>
    <cellStyle name="_x0001_\Ô" xfId="28"/>
    <cellStyle name="_1 TONG HOP - CA NA" xfId="29"/>
    <cellStyle name="_1.Tong hop KL, GT  - Dien chieu sang HLKB1" xfId="30"/>
    <cellStyle name="_Bang Chi tieu (2)" xfId="31"/>
    <cellStyle name="_BAO GIA NGAY 24-10-08 (co dam)" xfId="32"/>
    <cellStyle name="_BD-BHN scptd 3-6-10" xfId="33"/>
    <cellStyle name="_Book1" xfId="34"/>
    <cellStyle name="_Book1_1" xfId="35"/>
    <cellStyle name="_Book1_1_Phụ luc goi 5" xfId="36"/>
    <cellStyle name="_Book1_1_Tuyen (21-7-11)-doan 1" xfId="37"/>
    <cellStyle name="_Book1_Book1" xfId="38"/>
    <cellStyle name="_Book1_Book1_Tuyen (21-7-11)-doan 1" xfId="39"/>
    <cellStyle name="_Book1_cap dien ha the - xay dung2" xfId="40"/>
    <cellStyle name="_Book1_Khoi luong" xfId="41"/>
    <cellStyle name="_Book1_Phụ luc goi 5" xfId="42"/>
    <cellStyle name="_Book1_Tuyen (21-7-11)-doan 1" xfId="43"/>
    <cellStyle name="_C.cong+B.luong-Sanluong" xfId="44"/>
    <cellStyle name="_cap dien ha the - xay dung2" xfId="45"/>
    <cellStyle name="_Cau Phu Phuong" xfId="46"/>
    <cellStyle name="_Chau Thon - Tan Xuan (KCS 8-12-06)" xfId="47"/>
    <cellStyle name="_cong vien cay xanh" xfId="48"/>
    <cellStyle name="_DCG TT09 G2 3.12.2007" xfId="49"/>
    <cellStyle name="_DO-D1500-KHONG CO TRONG DT" xfId="50"/>
    <cellStyle name="_DON GIA GIAOTHAU TRU CHONG GIA QUANG DAI" xfId="51"/>
    <cellStyle name="_DT khu DT long bien theo 179" xfId="52"/>
    <cellStyle name="_Du toan duong day va TBA QT " xfId="53"/>
    <cellStyle name="_Du toan PS Goi 2 theo bb ngày 31.7 va 1.9. trinh  (DG moi)" xfId="54"/>
    <cellStyle name="_Du toan PS goi01" xfId="55"/>
    <cellStyle name="_ET_STYLE_NoName_00_" xfId="56"/>
    <cellStyle name="_Gia goi 1" xfId="57"/>
    <cellStyle name="_Gia-Dai tuong niem liet sy" xfId="58"/>
    <cellStyle name="_Goi 1 A tham tra" xfId="59"/>
    <cellStyle name="_Goi 1 in 20.4" xfId="60"/>
    <cellStyle name="_Goi 1 in 20.4 sua" xfId="61"/>
    <cellStyle name="_Goi 1in tong NT(da kiem tra)" xfId="62"/>
    <cellStyle name="_Goi 2 in20.4" xfId="63"/>
    <cellStyle name="_Goi 2- My Ly Ban trinh" xfId="64"/>
    <cellStyle name="_GOITHAUSO2" xfId="65"/>
    <cellStyle name="_GOITHAUSO3" xfId="66"/>
    <cellStyle name="_GOITHAUSO4" xfId="67"/>
    <cellStyle name="_HS thau" xfId="68"/>
    <cellStyle name="_Khoi luong" xfId="69"/>
    <cellStyle name="_Khoi luong QL8B" xfId="70"/>
    <cellStyle name="_KL hoan thanh+PS 15.12.08 theo ban ve." xfId="71"/>
    <cellStyle name="_KLdao chuan" xfId="72"/>
    <cellStyle name="_KT (2)" xfId="73"/>
    <cellStyle name="_KT (2)_1" xfId="74"/>
    <cellStyle name="_KT (2)_1_Lora-tungchau" xfId="75"/>
    <cellStyle name="_KT (2)_1_Qt-HT3PQ1(CauKho)" xfId="76"/>
    <cellStyle name="_KT (2)_1_Tuyen (21-7-11)-doan 1" xfId="77"/>
    <cellStyle name="_KT (2)_2" xfId="78"/>
    <cellStyle name="_KT (2)_2_TG-TH" xfId="79"/>
    <cellStyle name="_KT (2)_2_TG-TH_BANG TONG HOP TINH HINH THANH QUYET TOAN (MOI I)" xfId="80"/>
    <cellStyle name="_KT (2)_2_TG-TH_BAO GIA NGAY 24-10-08 (co dam)" xfId="81"/>
    <cellStyle name="_KT (2)_2_TG-TH_Book1" xfId="82"/>
    <cellStyle name="_KT (2)_2_TG-TH_Book1_1" xfId="83"/>
    <cellStyle name="_KT (2)_2_TG-TH_CAU Khanh Nam(Thi Cong)" xfId="84"/>
    <cellStyle name="_KT (2)_2_TG-TH_DAU NOI PL-CL TAI PHU LAMHC" xfId="85"/>
    <cellStyle name="_KT (2)_2_TG-TH_DU TRU VAT TU" xfId="86"/>
    <cellStyle name="_KT (2)_2_TG-TH_Lora-tungchau" xfId="87"/>
    <cellStyle name="_KT (2)_2_TG-TH_Phụ luc goi 5" xfId="88"/>
    <cellStyle name="_KT (2)_2_TG-TH_Qt-HT3PQ1(CauKho)" xfId="89"/>
    <cellStyle name="_KT (2)_2_TG-TH_Tuyen (21-7-11)-doan 1" xfId="90"/>
    <cellStyle name="_KT (2)_2_TG-TH_ÿÿÿÿÿ" xfId="91"/>
    <cellStyle name="_KT (2)_3" xfId="92"/>
    <cellStyle name="_KT (2)_3_TG-TH" xfId="93"/>
    <cellStyle name="_KT (2)_3_TG-TH_Lora-tungchau" xfId="94"/>
    <cellStyle name="_KT (2)_3_TG-TH_PERSONAL" xfId="95"/>
    <cellStyle name="_KT (2)_3_TG-TH_PERSONAL_Book1" xfId="96"/>
    <cellStyle name="_KT (2)_3_TG-TH_PERSONAL_Tong hop KHCB 2001" xfId="97"/>
    <cellStyle name="_KT (2)_3_TG-TH_Qt-HT3PQ1(CauKho)" xfId="98"/>
    <cellStyle name="_KT (2)_3_TG-TH_Tuyen (21-7-11)-doan 1" xfId="99"/>
    <cellStyle name="_KT (2)_4" xfId="100"/>
    <cellStyle name="_KT (2)_4_BANG TONG HOP TINH HINH THANH QUYET TOAN (MOI I)" xfId="101"/>
    <cellStyle name="_KT (2)_4_BAO GIA NGAY 24-10-08 (co dam)" xfId="102"/>
    <cellStyle name="_KT (2)_4_Book1" xfId="103"/>
    <cellStyle name="_KT (2)_4_Book1_1" xfId="104"/>
    <cellStyle name="_KT (2)_4_CAU Khanh Nam(Thi Cong)" xfId="105"/>
    <cellStyle name="_KT (2)_4_DAU NOI PL-CL TAI PHU LAMHC" xfId="106"/>
    <cellStyle name="_KT (2)_4_DU TRU VAT TU" xfId="107"/>
    <cellStyle name="_KT (2)_4_Lora-tungchau" xfId="108"/>
    <cellStyle name="_KT (2)_4_Phụ luc goi 5" xfId="109"/>
    <cellStyle name="_KT (2)_4_Qt-HT3PQ1(CauKho)" xfId="110"/>
    <cellStyle name="_KT (2)_4_TG-TH" xfId="111"/>
    <cellStyle name="_KT (2)_4_Tuyen (21-7-11)-doan 1" xfId="112"/>
    <cellStyle name="_KT (2)_4_ÿÿÿÿÿ" xfId="113"/>
    <cellStyle name="_KT (2)_5" xfId="114"/>
    <cellStyle name="_KT (2)_5_BANG TONG HOP TINH HINH THANH QUYET TOAN (MOI I)" xfId="115"/>
    <cellStyle name="_KT (2)_5_BAO GIA NGAY 24-10-08 (co dam)" xfId="116"/>
    <cellStyle name="_KT (2)_5_Book1" xfId="117"/>
    <cellStyle name="_KT (2)_5_Book1_1" xfId="118"/>
    <cellStyle name="_KT (2)_5_CAU Khanh Nam(Thi Cong)" xfId="119"/>
    <cellStyle name="_KT (2)_5_DAU NOI PL-CL TAI PHU LAMHC" xfId="120"/>
    <cellStyle name="_KT (2)_5_DU TRU VAT TU" xfId="121"/>
    <cellStyle name="_KT (2)_5_Lora-tungchau" xfId="122"/>
    <cellStyle name="_KT (2)_5_Phụ luc goi 5" xfId="123"/>
    <cellStyle name="_KT (2)_5_Qt-HT3PQ1(CauKho)" xfId="124"/>
    <cellStyle name="_KT (2)_5_Tuyen (21-7-11)-doan 1" xfId="125"/>
    <cellStyle name="_KT (2)_5_ÿÿÿÿÿ" xfId="126"/>
    <cellStyle name="_KT (2)_Lora-tungchau" xfId="127"/>
    <cellStyle name="_KT (2)_PERSONAL" xfId="128"/>
    <cellStyle name="_KT (2)_PERSONAL_Book1" xfId="129"/>
    <cellStyle name="_KT (2)_PERSONAL_Tong hop KHCB 2001" xfId="130"/>
    <cellStyle name="_KT (2)_Qt-HT3PQ1(CauKho)" xfId="131"/>
    <cellStyle name="_KT (2)_TG-TH" xfId="132"/>
    <cellStyle name="_KT (2)_Tuyen (21-7-11)-doan 1" xfId="133"/>
    <cellStyle name="_KT_TG" xfId="134"/>
    <cellStyle name="_KT_TG_1" xfId="135"/>
    <cellStyle name="_KT_TG_1_BANG TONG HOP TINH HINH THANH QUYET TOAN (MOI I)" xfId="136"/>
    <cellStyle name="_KT_TG_1_BAO GIA NGAY 24-10-08 (co dam)" xfId="137"/>
    <cellStyle name="_KT_TG_1_Book1" xfId="138"/>
    <cellStyle name="_KT_TG_1_Book1_1" xfId="139"/>
    <cellStyle name="_KT_TG_1_CAU Khanh Nam(Thi Cong)" xfId="140"/>
    <cellStyle name="_KT_TG_1_DAU NOI PL-CL TAI PHU LAMHC" xfId="141"/>
    <cellStyle name="_KT_TG_1_DU TRU VAT TU" xfId="142"/>
    <cellStyle name="_KT_TG_1_Lora-tungchau" xfId="143"/>
    <cellStyle name="_KT_TG_1_Phụ luc goi 5" xfId="144"/>
    <cellStyle name="_KT_TG_1_Qt-HT3PQ1(CauKho)" xfId="145"/>
    <cellStyle name="_KT_TG_1_Tuyen (21-7-11)-doan 1" xfId="146"/>
    <cellStyle name="_KT_TG_1_ÿÿÿÿÿ" xfId="147"/>
    <cellStyle name="_KT_TG_2" xfId="148"/>
    <cellStyle name="_KT_TG_2_BANG TONG HOP TINH HINH THANH QUYET TOAN (MOI I)" xfId="149"/>
    <cellStyle name="_KT_TG_2_BAO GIA NGAY 24-10-08 (co dam)" xfId="150"/>
    <cellStyle name="_KT_TG_2_Book1" xfId="151"/>
    <cellStyle name="_KT_TG_2_Book1_1" xfId="152"/>
    <cellStyle name="_KT_TG_2_CAU Khanh Nam(Thi Cong)" xfId="153"/>
    <cellStyle name="_KT_TG_2_DAU NOI PL-CL TAI PHU LAMHC" xfId="154"/>
    <cellStyle name="_KT_TG_2_DU TRU VAT TU" xfId="155"/>
    <cellStyle name="_KT_TG_2_Lora-tungchau" xfId="156"/>
    <cellStyle name="_KT_TG_2_Phụ luc goi 5" xfId="157"/>
    <cellStyle name="_KT_TG_2_Qt-HT3PQ1(CauKho)" xfId="158"/>
    <cellStyle name="_KT_TG_2_Tuyen (21-7-11)-doan 1" xfId="159"/>
    <cellStyle name="_KT_TG_2_ÿÿÿÿÿ" xfId="160"/>
    <cellStyle name="_KT_TG_3" xfId="161"/>
    <cellStyle name="_KT_TG_4" xfId="162"/>
    <cellStyle name="_KT_TG_4_Lora-tungchau" xfId="163"/>
    <cellStyle name="_KT_TG_4_Qt-HT3PQ1(CauKho)" xfId="164"/>
    <cellStyle name="_KT_TG_4_Tuyen (21-7-11)-doan 1" xfId="165"/>
    <cellStyle name="_Lora-tungchau" xfId="166"/>
    <cellStyle name="_PERSONAL" xfId="167"/>
    <cellStyle name="_PERSONAL_Book1" xfId="168"/>
    <cellStyle name="_PERSONAL_Tong hop KHCB 2001" xfId="169"/>
    <cellStyle name="_x0001__Phụ luc goi 5" xfId="170"/>
    <cellStyle name="_Q TOAN  SCTX QL.62 QUI I ( oanh)" xfId="171"/>
    <cellStyle name="_Q TOAN  SCTX QL.62 QUI II ( oanh)" xfId="172"/>
    <cellStyle name="_QT SCTXQL62_QT1 (Cty QL)" xfId="173"/>
    <cellStyle name="_Qt-HT3PQ1(CauKho)" xfId="174"/>
    <cellStyle name="_QTKL HT THEO HD" xfId="175"/>
    <cellStyle name="_QUYET TOAN QUY I " xfId="176"/>
    <cellStyle name="_Sheet1" xfId="177"/>
    <cellStyle name="_Sheet2" xfId="178"/>
    <cellStyle name="_Sheet3" xfId="179"/>
    <cellStyle name="_Sheet4" xfId="180"/>
    <cellStyle name="_TG-TH" xfId="181"/>
    <cellStyle name="_TG-TH_1" xfId="182"/>
    <cellStyle name="_TG-TH_1_BANG TONG HOP TINH HINH THANH QUYET TOAN (MOI I)" xfId="183"/>
    <cellStyle name="_TG-TH_1_BAO GIA NGAY 24-10-08 (co dam)" xfId="184"/>
    <cellStyle name="_TG-TH_1_Book1" xfId="185"/>
    <cellStyle name="_TG-TH_1_Book1_1" xfId="186"/>
    <cellStyle name="_TG-TH_1_CAU Khanh Nam(Thi Cong)" xfId="187"/>
    <cellStyle name="_TG-TH_1_DAU NOI PL-CL TAI PHU LAMHC" xfId="188"/>
    <cellStyle name="_TG-TH_1_DU TRU VAT TU" xfId="189"/>
    <cellStyle name="_TG-TH_1_Lora-tungchau" xfId="190"/>
    <cellStyle name="_TG-TH_1_Phụ luc goi 5" xfId="191"/>
    <cellStyle name="_TG-TH_1_Qt-HT3PQ1(CauKho)" xfId="192"/>
    <cellStyle name="_TG-TH_1_Tuyen (21-7-11)-doan 1" xfId="193"/>
    <cellStyle name="_TG-TH_1_ÿÿÿÿÿ" xfId="194"/>
    <cellStyle name="_TG-TH_2" xfId="195"/>
    <cellStyle name="_TG-TH_2_BANG TONG HOP TINH HINH THANH QUYET TOAN (MOI I)" xfId="196"/>
    <cellStyle name="_TG-TH_2_BAO GIA NGAY 24-10-08 (co dam)" xfId="197"/>
    <cellStyle name="_TG-TH_2_Book1" xfId="198"/>
    <cellStyle name="_TG-TH_2_Book1_1" xfId="199"/>
    <cellStyle name="_TG-TH_2_CAU Khanh Nam(Thi Cong)" xfId="200"/>
    <cellStyle name="_TG-TH_2_DAU NOI PL-CL TAI PHU LAMHC" xfId="201"/>
    <cellStyle name="_TG-TH_2_DU TRU VAT TU" xfId="202"/>
    <cellStyle name="_TG-TH_2_Lora-tungchau" xfId="203"/>
    <cellStyle name="_TG-TH_2_Phụ luc goi 5" xfId="204"/>
    <cellStyle name="_TG-TH_2_Qt-HT3PQ1(CauKho)" xfId="205"/>
    <cellStyle name="_TG-TH_2_Tuyen (21-7-11)-doan 1" xfId="206"/>
    <cellStyle name="_TG-TH_2_ÿÿÿÿÿ" xfId="207"/>
    <cellStyle name="_TG-TH_3" xfId="208"/>
    <cellStyle name="_TG-TH_3_Lora-tungchau" xfId="209"/>
    <cellStyle name="_TG-TH_3_Qt-HT3PQ1(CauKho)" xfId="210"/>
    <cellStyle name="_TG-TH_3_Tuyen (21-7-11)-doan 1" xfId="211"/>
    <cellStyle name="_TG-TH_4" xfId="212"/>
    <cellStyle name="_Thi nghiem duong day va TBA" xfId="213"/>
    <cellStyle name="_Tong dutoan PP LAHAI" xfId="214"/>
    <cellStyle name="_Tong hop" xfId="215"/>
    <cellStyle name="_TONG HOP DT QUY II" xfId="216"/>
    <cellStyle name="_Tong hop may cheu nganh 1" xfId="217"/>
    <cellStyle name="_Tuyen (21-7-11)-doan 1" xfId="218"/>
    <cellStyle name="_Viahe-TD (15-10-07)" xfId="219"/>
    <cellStyle name="_xay dung ranh cap 22kv qt - ok" xfId="220"/>
    <cellStyle name="_ÿÿÿÿÿ" xfId="221"/>
    <cellStyle name="_ÿÿÿÿÿ_Phụ luc goi 5" xfId="222"/>
    <cellStyle name="~1" xfId="223"/>
    <cellStyle name="_x0001_¨c^ " xfId="224"/>
    <cellStyle name="_x0001_¨c^[" xfId="225"/>
    <cellStyle name="_x0001_¨c^_" xfId="226"/>
    <cellStyle name="_x0001_¨Œc^ " xfId="227"/>
    <cellStyle name="_x0001_¨Œc^[" xfId="228"/>
    <cellStyle name="_x0001_¨Œc^_" xfId="229"/>
    <cellStyle name="’Ê‰Ý [0.00]_laroux" xfId="230"/>
    <cellStyle name="’Ê‰Ý_laroux" xfId="231"/>
    <cellStyle name="_x0001_µÑTÖ " xfId="232"/>
    <cellStyle name="_x0001_µÑTÖ_" xfId="233"/>
    <cellStyle name="•W?_Format" xfId="234"/>
    <cellStyle name="•W€_’·Šú‰p•¶" xfId="235"/>
    <cellStyle name="•W_’·Šú‰p•¶" xfId="236"/>
    <cellStyle name="W_MARINE" xfId="237"/>
    <cellStyle name="0" xfId="238"/>
    <cellStyle name="0.0" xfId="239"/>
    <cellStyle name="0.00" xfId="240"/>
    <cellStyle name="1" xfId="241"/>
    <cellStyle name="1_0D5B6000" xfId="242"/>
    <cellStyle name="1_6.Bang_luong_moi_XDCB" xfId="243"/>
    <cellStyle name="1_A che do KS +chi BQL" xfId="244"/>
    <cellStyle name="1_BANG CAM COC GPMB 8km" xfId="245"/>
    <cellStyle name="1_Bang tong hop khoi luong" xfId="246"/>
    <cellStyle name="1_BAO GIA NGAY 24-10-08 (co dam)" xfId="247"/>
    <cellStyle name="1_BC thang" xfId="248"/>
    <cellStyle name="1_Book1" xfId="249"/>
    <cellStyle name="1_Book1_02-07 Tuyen chinh" xfId="250"/>
    <cellStyle name="1_Book1_02-07Tuyen Nhanh" xfId="251"/>
    <cellStyle name="1_Book1_1" xfId="252"/>
    <cellStyle name="1_Book1_1_Phụ luc goi 5" xfId="253"/>
    <cellStyle name="1_Book1_BC thang" xfId="254"/>
    <cellStyle name="1_Book1_Book1" xfId="255"/>
    <cellStyle name="1_Book1_Cau Hoa Son Km 1+441.06 (14-12-2006)" xfId="256"/>
    <cellStyle name="1_Book1_Cau Hoa Son Km 1+441.06 (22-10-2006)" xfId="257"/>
    <cellStyle name="1_Book1_Cau Hoa Son Km 1+441.06 (24-10-2006)" xfId="258"/>
    <cellStyle name="1_Book1_Cau Nam Tot(ngay 2-10-2006)" xfId="259"/>
    <cellStyle name="1_Book1_CAU XOP XANG II(su­a)" xfId="260"/>
    <cellStyle name="1_Book1_Dieu phoi dat goi 1" xfId="261"/>
    <cellStyle name="1_Book1_Dieu phoi dat goi 2" xfId="262"/>
    <cellStyle name="1_Book1_DT 27-9-2006 nop SKH" xfId="263"/>
    <cellStyle name="1_Book1_DT Kha thi ngay 11-2-06" xfId="264"/>
    <cellStyle name="1_Book1_DT ngay 04-01-2006" xfId="265"/>
    <cellStyle name="1_Book1_DT ngay 11-4-2006" xfId="266"/>
    <cellStyle name="1_Book1_DT ngay 15-11-05" xfId="267"/>
    <cellStyle name="1_Book1_DT theo DM24" xfId="268"/>
    <cellStyle name="1_Book1_DT Yen Na - Yen Tinh Theo 51 bu may CT8" xfId="269"/>
    <cellStyle name="1_Book1_Du toan KT-TCsua theo TT 03 - YC 471" xfId="270"/>
    <cellStyle name="1_Book1_Du toan Phuong lam" xfId="271"/>
    <cellStyle name="1_Book1_Du toan QL 27 (23-12-2005)" xfId="272"/>
    <cellStyle name="1_Book1_DuAnKT ngay 11-2-2006" xfId="273"/>
    <cellStyle name="1_Book1_Goi 1" xfId="274"/>
    <cellStyle name="1_Book1_Goi thau so 2 (20-6-2006)" xfId="275"/>
    <cellStyle name="1_Book1_Goi02(25-05-2006)" xfId="276"/>
    <cellStyle name="1_Book1_K C N - HUNG DONG L.NHUA" xfId="277"/>
    <cellStyle name="1_Book1_Khoi Luong Hoang Truong - Hoang Phu" xfId="278"/>
    <cellStyle name="1_Book1_KLdao chuan" xfId="279"/>
    <cellStyle name="1_Book1_Muong TL" xfId="280"/>
    <cellStyle name="1_Book1_Sua -  Nam Cam 07" xfId="281"/>
    <cellStyle name="1_Book1_T4-nhanh1(17-6)" xfId="282"/>
    <cellStyle name="1_Book1_Tong muc KT 20-11 Tan Huong Tuyen2" xfId="283"/>
    <cellStyle name="1_Book1_Tuyen so 1-Km0+00 - Km0+852.56" xfId="284"/>
    <cellStyle name="1_Book1_TV sua ngay 02-08-06" xfId="285"/>
    <cellStyle name="1_Book1_xop nhi Gia Q4( 7-3-07)" xfId="286"/>
    <cellStyle name="1_Book1_Yen Na-Yen Tinh 07" xfId="287"/>
    <cellStyle name="1_Book1_Yen Na-Yen tinh 11" xfId="288"/>
    <cellStyle name="1_Book1_ÿÿÿÿÿ" xfId="289"/>
    <cellStyle name="1_C" xfId="290"/>
    <cellStyle name="1_Cap dien ha the - phan lap dat dot 3" xfId="291"/>
    <cellStyle name="1_Cau Hoi 115" xfId="292"/>
    <cellStyle name="1_Cau Hua Trai (TT 04)" xfId="293"/>
    <cellStyle name="1_Cau Nam Tot(ngay 2-10-2006)" xfId="294"/>
    <cellStyle name="1_Cau Thanh Ha 1" xfId="295"/>
    <cellStyle name="1_Cau thuy dien Ban La (Cu Anh)" xfId="296"/>
    <cellStyle name="1_Cau thuy dien Ban La (Cu Anh) 2" xfId="297"/>
    <cellStyle name="1_Cau thuy dien Ban La (Cu Anh)_Phụ luc goi 5" xfId="298"/>
    <cellStyle name="1_CAU XOP XANG II(su­a)" xfId="299"/>
    <cellStyle name="1_Chau Thon - Tan Xuan (KCS 8-12-06)" xfId="300"/>
    <cellStyle name="1_Chi phi KS" xfId="301"/>
    <cellStyle name="1_cong" xfId="302"/>
    <cellStyle name="1_cuong sua 9.10" xfId="303"/>
    <cellStyle name="1_Dakt-Cau tinh Hua Phan" xfId="304"/>
    <cellStyle name="1_DIEN" xfId="305"/>
    <cellStyle name="1_Dieu phoi dat goi 1" xfId="306"/>
    <cellStyle name="1_Dieu phoi dat goi 2" xfId="307"/>
    <cellStyle name="1_Dinh muc thiet ke" xfId="308"/>
    <cellStyle name="1_DON GIA GIAOTHAU TRU CHONG GIA QUANG DAI" xfId="309"/>
    <cellStyle name="1_DONGIA" xfId="310"/>
    <cellStyle name="1_DT Kha thi ngay 11-2-06" xfId="311"/>
    <cellStyle name="1_DT KS Cam LAc-10-05-07" xfId="312"/>
    <cellStyle name="1_DT KT ngay 10-9-2005" xfId="313"/>
    <cellStyle name="1_DT ngay 04-01-2006" xfId="314"/>
    <cellStyle name="1_DT ngay 11-4-2006" xfId="315"/>
    <cellStyle name="1_DT ngay 15-11-05" xfId="316"/>
    <cellStyle name="1_DT theo DM24" xfId="317"/>
    <cellStyle name="1_DT Yen Na - Yen Tinh Theo 51 bu may CT8" xfId="318"/>
    <cellStyle name="1_Dtdchinh2397" xfId="319"/>
    <cellStyle name="1_Dtdchinh2397_Phụ luc goi 5" xfId="320"/>
    <cellStyle name="1_DTXL goi 11(20-9-05)" xfId="321"/>
    <cellStyle name="1_du toan" xfId="322"/>
    <cellStyle name="1_du toan (03-11-05)" xfId="323"/>
    <cellStyle name="1_Du toan (12-05-2005) Tham dinh" xfId="324"/>
    <cellStyle name="1_Du toan (23-05-2005) Tham dinh" xfId="325"/>
    <cellStyle name="1_Du toan (5 - 04 - 2004)" xfId="326"/>
    <cellStyle name="1_Du toan (6-3-2005)" xfId="327"/>
    <cellStyle name="1_Du toan (Ban A)" xfId="328"/>
    <cellStyle name="1_Du toan (ngay 13 - 07 - 2004)" xfId="329"/>
    <cellStyle name="1_Du toan (ngay 25-9-06)" xfId="330"/>
    <cellStyle name="1_Du toan 558 (Km17+508.12 - Km 22)" xfId="331"/>
    <cellStyle name="1_Du toan 558 (Km17+508.12 - Km 22) 2" xfId="332"/>
    <cellStyle name="1_Du toan 558 (Km17+508.12 - Km 22)_Phụ luc goi 5" xfId="333"/>
    <cellStyle name="1_Du toan bo sung (11-2004)" xfId="334"/>
    <cellStyle name="1_Du toan Cang Vung Ang (Tham tra 3-11-06)" xfId="335"/>
    <cellStyle name="1_Du toan Cang Vung Ang ngay 09-8-06 " xfId="336"/>
    <cellStyle name="1_Du toan dieu chin theo don gia moi (1-2-2007)" xfId="337"/>
    <cellStyle name="1_Du toan Goi 1" xfId="338"/>
    <cellStyle name="1_du toan goi 12" xfId="339"/>
    <cellStyle name="1_Du toan Goi 2" xfId="340"/>
    <cellStyle name="1_Du toan Huong Lam - Ban Giang (ngay28-11-06)" xfId="341"/>
    <cellStyle name="1_Du toan KT-TCsua theo TT 03 - YC 471" xfId="342"/>
    <cellStyle name="1_Du toan ngay (28-10-2005)" xfId="343"/>
    <cellStyle name="1_Du toan ngay 1-9-2004 (version 1)" xfId="344"/>
    <cellStyle name="1_Du toan Phuong lam" xfId="345"/>
    <cellStyle name="1_Du toan QL 27 (23-12-2005)" xfId="346"/>
    <cellStyle name="1_DuAnKT ngay 11-2-2006" xfId="347"/>
    <cellStyle name="1_DUONGNOIVUNG-QTHANG-QLUU" xfId="348"/>
    <cellStyle name="1_G_I TCDBVN. BCQTC_U QUANG DAI.QL62.(11)" xfId="349"/>
    <cellStyle name="1_Gia goi 1" xfId="350"/>
    <cellStyle name="1_Gia_VL cau-JIBIC-Ha-tinh" xfId="351"/>
    <cellStyle name="1_Gia_VLQL48_duyet " xfId="352"/>
    <cellStyle name="1_Gia_VLQL48_duyet _Phụ luc goi 5" xfId="353"/>
    <cellStyle name="1_goi 1" xfId="354"/>
    <cellStyle name="1_Goi 1 (TT04)" xfId="355"/>
    <cellStyle name="1_goi 1 duyet theo luong mo (an)" xfId="356"/>
    <cellStyle name="1_Goi 1_1" xfId="357"/>
    <cellStyle name="1_Goi so 1" xfId="358"/>
    <cellStyle name="1_Goi thau so 2 (20-6-2006)" xfId="359"/>
    <cellStyle name="1_Goi02(25-05-2006)" xfId="360"/>
    <cellStyle name="1_Goi1N206" xfId="361"/>
    <cellStyle name="1_Goi2N206" xfId="362"/>
    <cellStyle name="1_Goi4N216" xfId="363"/>
    <cellStyle name="1_Goi5N216" xfId="364"/>
    <cellStyle name="1_Hoi Song" xfId="365"/>
    <cellStyle name="1_HT-LO" xfId="366"/>
    <cellStyle name="1_HTLO-TKKT(15-2-08)" xfId="367"/>
    <cellStyle name="1_Khoi luong" xfId="368"/>
    <cellStyle name="1_Khoi luong doan 1" xfId="369"/>
    <cellStyle name="1_Khoi luong doan 2" xfId="370"/>
    <cellStyle name="1_Khoi luong goi 1-QL4D" xfId="371"/>
    <cellStyle name="1_Khoi Luong Hoang Truong - Hoang Phu" xfId="372"/>
    <cellStyle name="1_Khoi luong QL8B" xfId="373"/>
    <cellStyle name="1_KL" xfId="374"/>
    <cellStyle name="1_KL goi 1" xfId="375"/>
    <cellStyle name="1_Kl6-6-05" xfId="376"/>
    <cellStyle name="1_Kldoan3" xfId="377"/>
    <cellStyle name="1_Klnutgiao" xfId="378"/>
    <cellStyle name="1_KLPA2s" xfId="379"/>
    <cellStyle name="1_KlQdinhduyet" xfId="380"/>
    <cellStyle name="1_KlQdinhduyet_Phụ luc goi 5" xfId="381"/>
    <cellStyle name="1_KlQL4goi5KCS" xfId="382"/>
    <cellStyle name="1_Kltayth" xfId="383"/>
    <cellStyle name="1_KltaythQDduyet" xfId="384"/>
    <cellStyle name="1_Kluong4-2004" xfId="385"/>
    <cellStyle name="1_Km198-Km 206(3-6-09)" xfId="386"/>
    <cellStyle name="1_Km329-Km350 (7-6)" xfId="387"/>
    <cellStyle name="1_Km4-Km8+800" xfId="388"/>
    <cellStyle name="1_Long_Lien_Phuong_BVTC" xfId="389"/>
    <cellStyle name="1_Luong A6" xfId="390"/>
    <cellStyle name="1_maugiacotaluy" xfId="391"/>
    <cellStyle name="1_My Thanh Son Thanh" xfId="392"/>
    <cellStyle name="1_Nhom I" xfId="393"/>
    <cellStyle name="1_Project N.Du" xfId="394"/>
    <cellStyle name="1_Project N.Du.dien" xfId="395"/>
    <cellStyle name="1_Project QL4" xfId="396"/>
    <cellStyle name="1_Project QL4 goi 7" xfId="397"/>
    <cellStyle name="1_Project QL4 goi5" xfId="398"/>
    <cellStyle name="1_Project QL4 goi8" xfId="399"/>
    <cellStyle name="1_QL1A-SUA2005" xfId="400"/>
    <cellStyle name="1_Sheet1" xfId="401"/>
    <cellStyle name="1_SuoiTon" xfId="402"/>
    <cellStyle name="1_t" xfId="403"/>
    <cellStyle name="1_Tay THoa" xfId="404"/>
    <cellStyle name="1_TDT 3 xa VA chinh thuc" xfId="405"/>
    <cellStyle name="1_TH Nguon NTM 2014" xfId="406"/>
    <cellStyle name="1_TH Nguon NTM 2015" xfId="407"/>
    <cellStyle name="1_Tham tra (8-11)1" xfId="408"/>
    <cellStyle name="1_THKLsua_cuoi" xfId="409"/>
    <cellStyle name="1_Tinh KLHC goi 1" xfId="410"/>
    <cellStyle name="1_tmthiet ke" xfId="411"/>
    <cellStyle name="1_tmthiet ke1" xfId="412"/>
    <cellStyle name="1_Tong hop DT dieu chinh duong 38-95" xfId="413"/>
    <cellStyle name="1_Tong hop khoi luong duong 557 (30-5-2006)" xfId="414"/>
    <cellStyle name="1_tong hop kl nen mat" xfId="415"/>
    <cellStyle name="1_Tong muc dau tu" xfId="416"/>
    <cellStyle name="1_Tong muc KT 20-11 Tan Huong Tuyen2" xfId="417"/>
    <cellStyle name="1_TRUNG PMU 5" xfId="418"/>
    <cellStyle name="1_Tuyen (20-6-11 PA 2)" xfId="419"/>
    <cellStyle name="1_Tuyen (21-7-11)-doan 1" xfId="420"/>
    <cellStyle name="1_Tuyen so 1-Km0+00 - Km0+852.56" xfId="421"/>
    <cellStyle name="1_TV sua ngay 02-08-06" xfId="422"/>
    <cellStyle name="1_VatLieu 3 cau -NA" xfId="423"/>
    <cellStyle name="1_Yen Na - Yen Tinh  du an 30 -10-2006- Theo 51 bu may" xfId="424"/>
    <cellStyle name="1_Yen Na - Yen Tinh Theo 51 bu may Ghep" xfId="425"/>
    <cellStyle name="1_Yen Na - Yen Tinh Theo 51 -TV NA Ghep" xfId="426"/>
    <cellStyle name="1_Yen Na-Yen Tinh 07" xfId="427"/>
    <cellStyle name="1_ÿÿÿÿÿ" xfId="428"/>
    <cellStyle name="1_ÿÿÿÿÿ_1" xfId="429"/>
    <cellStyle name="1_ÿÿÿÿÿ_Bao cao thang G1" xfId="430"/>
    <cellStyle name="1_ÿÿÿÿÿ_Book1" xfId="431"/>
    <cellStyle name="1_ÿÿÿÿÿ_Book1_Phụ luc goi 5" xfId="432"/>
    <cellStyle name="1_ÿÿÿÿÿ_DON GIA GIAOTHAU TRU CHONG GIA QUANG DAI" xfId="433"/>
    <cellStyle name="1_ÿÿÿÿÿ_Don gia Goi thau so 1 (872)" xfId="434"/>
    <cellStyle name="1_ÿÿÿÿÿ_DTduong-goi1" xfId="435"/>
    <cellStyle name="1_ÿÿÿÿÿ_dutoanLCSP04-km0-5-goi1 (Ban 5 sua 24-8)" xfId="436"/>
    <cellStyle name="1_ÿÿÿÿÿ_G_I TCDBVN. BCQTC_U QUANG DAI.QL62.(11)" xfId="437"/>
    <cellStyle name="1_ÿÿÿÿÿ_Tinh KLHC goi 1" xfId="438"/>
    <cellStyle name="1_ÿÿÿÿÿ_Tong hop DT dieu chinh duong 38-95" xfId="439"/>
    <cellStyle name="_x0001_1¼„½(" xfId="440"/>
    <cellStyle name="_x0001_1¼½(" xfId="441"/>
    <cellStyle name="12" xfId="442"/>
    <cellStyle name="123" xfId="443"/>
    <cellStyle name="123w" xfId="444"/>
    <cellStyle name="15" xfId="445"/>
    <cellStyle name="¹éºÐÀ²_      " xfId="446"/>
    <cellStyle name="2" xfId="447"/>
    <cellStyle name="2_0D5B6000" xfId="448"/>
    <cellStyle name="2_6.Bang_luong_moi_XDCB" xfId="449"/>
    <cellStyle name="2_A che do KS +chi BQL" xfId="450"/>
    <cellStyle name="2_BANG CAM COC GPMB 8km" xfId="451"/>
    <cellStyle name="2_Bang tong hop khoi luong" xfId="452"/>
    <cellStyle name="2_BC thang" xfId="453"/>
    <cellStyle name="2_Book1" xfId="454"/>
    <cellStyle name="2_Book1_02-07 Tuyen chinh" xfId="455"/>
    <cellStyle name="2_Book1_02-07Tuyen Nhanh" xfId="456"/>
    <cellStyle name="2_Book1_1" xfId="457"/>
    <cellStyle name="2_Book1_1_Phụ luc goi 5" xfId="458"/>
    <cellStyle name="2_Book1_BC thang" xfId="459"/>
    <cellStyle name="2_Book1_Book1" xfId="460"/>
    <cellStyle name="2_Book1_Cau Hoa Son Km 1+441.06 (14-12-2006)" xfId="461"/>
    <cellStyle name="2_Book1_Cau Hoa Son Km 1+441.06 (22-10-2006)" xfId="462"/>
    <cellStyle name="2_Book1_Cau Hoa Son Km 1+441.06 (24-10-2006)" xfId="463"/>
    <cellStyle name="2_Book1_Cau Nam Tot(ngay 2-10-2006)" xfId="464"/>
    <cellStyle name="2_Book1_CAU XOP XANG II(su­a)" xfId="465"/>
    <cellStyle name="2_Book1_Dieu phoi dat goi 1" xfId="466"/>
    <cellStyle name="2_Book1_Dieu phoi dat goi 2" xfId="467"/>
    <cellStyle name="2_Book1_DT 27-9-2006 nop SKH" xfId="468"/>
    <cellStyle name="2_Book1_DT Kha thi ngay 11-2-06" xfId="469"/>
    <cellStyle name="2_Book1_DT ngay 04-01-2006" xfId="470"/>
    <cellStyle name="2_Book1_DT ngay 11-4-2006" xfId="471"/>
    <cellStyle name="2_Book1_DT ngay 15-11-05" xfId="472"/>
    <cellStyle name="2_Book1_DT theo DM24" xfId="473"/>
    <cellStyle name="2_Book1_DT Yen Na - Yen Tinh Theo 51 bu may CT8" xfId="474"/>
    <cellStyle name="2_Book1_Du toan KT-TCsua theo TT 03 - YC 471" xfId="475"/>
    <cellStyle name="2_Book1_Du toan Phuong lam" xfId="476"/>
    <cellStyle name="2_Book1_Du toan QL 27 (23-12-2005)" xfId="477"/>
    <cellStyle name="2_Book1_DuAnKT ngay 11-2-2006" xfId="478"/>
    <cellStyle name="2_Book1_Goi 1" xfId="479"/>
    <cellStyle name="2_Book1_Goi thau so 2 (20-6-2006)" xfId="480"/>
    <cellStyle name="2_Book1_Goi02(25-05-2006)" xfId="481"/>
    <cellStyle name="2_Book1_K C N - HUNG DONG L.NHUA" xfId="482"/>
    <cellStyle name="2_Book1_Khoi Luong Hoang Truong - Hoang Phu" xfId="483"/>
    <cellStyle name="2_Book1_KLdao chuan" xfId="484"/>
    <cellStyle name="2_Book1_Muong TL" xfId="485"/>
    <cellStyle name="2_Book1_Sua -  Nam Cam 07" xfId="486"/>
    <cellStyle name="2_Book1_T4-nhanh1(17-6)" xfId="487"/>
    <cellStyle name="2_Book1_Tong muc KT 20-11 Tan Huong Tuyen2" xfId="488"/>
    <cellStyle name="2_Book1_Tuyen so 1-Km0+00 - Km0+852.56" xfId="489"/>
    <cellStyle name="2_Book1_TV sua ngay 02-08-06" xfId="490"/>
    <cellStyle name="2_Book1_xop nhi Gia Q4( 7-3-07)" xfId="491"/>
    <cellStyle name="2_Book1_Yen Na-Yen Tinh 07" xfId="492"/>
    <cellStyle name="2_Book1_Yen Na-Yen tinh 11" xfId="493"/>
    <cellStyle name="2_Book1_ÿÿÿÿÿ" xfId="494"/>
    <cellStyle name="2_C" xfId="495"/>
    <cellStyle name="2_Cau Hoi 115" xfId="496"/>
    <cellStyle name="2_Cau Hua Trai (TT 04)" xfId="497"/>
    <cellStyle name="2_Cau Nam Tot(ngay 2-10-2006)" xfId="498"/>
    <cellStyle name="2_Cau Thanh Ha 1" xfId="499"/>
    <cellStyle name="2_Cau thuy dien Ban La (Cu Anh)" xfId="500"/>
    <cellStyle name="2_Cau thuy dien Ban La (Cu Anh) 2" xfId="501"/>
    <cellStyle name="2_Cau thuy dien Ban La (Cu Anh)_Phụ luc goi 5" xfId="502"/>
    <cellStyle name="2_CAU XOP XANG II(su­a)" xfId="503"/>
    <cellStyle name="2_Chau Thon - Tan Xuan (KCS 8-12-06)" xfId="504"/>
    <cellStyle name="2_Chi phi KS" xfId="505"/>
    <cellStyle name="2_cong" xfId="506"/>
    <cellStyle name="2_cuong sua 9.10" xfId="507"/>
    <cellStyle name="2_Dakt-Cau tinh Hua Phan" xfId="508"/>
    <cellStyle name="2_DIEN" xfId="509"/>
    <cellStyle name="2_Dieu phoi dat goi 1" xfId="510"/>
    <cellStyle name="2_Dieu phoi dat goi 2" xfId="511"/>
    <cellStyle name="2_Dinh muc thiet ke" xfId="512"/>
    <cellStyle name="2_DONGIA" xfId="513"/>
    <cellStyle name="2_DT Kha thi ngay 11-2-06" xfId="514"/>
    <cellStyle name="2_DT KS Cam LAc-10-05-07" xfId="515"/>
    <cellStyle name="2_DT KT ngay 10-9-2005" xfId="516"/>
    <cellStyle name="2_DT ngay 04-01-2006" xfId="517"/>
    <cellStyle name="2_DT ngay 11-4-2006" xfId="518"/>
    <cellStyle name="2_DT ngay 15-11-05" xfId="519"/>
    <cellStyle name="2_DT theo DM24" xfId="520"/>
    <cellStyle name="2_DT Yen Na - Yen Tinh Theo 51 bu may CT8" xfId="521"/>
    <cellStyle name="2_Dtdchinh2397" xfId="522"/>
    <cellStyle name="2_Dtdchinh2397_Phụ luc goi 5" xfId="523"/>
    <cellStyle name="2_DTXL goi 11(20-9-05)" xfId="524"/>
    <cellStyle name="2_du toan" xfId="525"/>
    <cellStyle name="2_du toan (03-11-05)" xfId="526"/>
    <cellStyle name="2_Du toan (12-05-2005) Tham dinh" xfId="527"/>
    <cellStyle name="2_Du toan (23-05-2005) Tham dinh" xfId="528"/>
    <cellStyle name="2_Du toan (5 - 04 - 2004)" xfId="529"/>
    <cellStyle name="2_Du toan (6-3-2005)" xfId="530"/>
    <cellStyle name="2_Du toan (Ban A)" xfId="531"/>
    <cellStyle name="2_Du toan (ngay 13 - 07 - 2004)" xfId="532"/>
    <cellStyle name="2_Du toan (ngay 25-9-06)" xfId="533"/>
    <cellStyle name="2_Du toan 558 (Km17+508.12 - Km 22)" xfId="534"/>
    <cellStyle name="2_Du toan 558 (Km17+508.12 - Km 22) 2" xfId="535"/>
    <cellStyle name="2_Du toan 558 (Km17+508.12 - Km 22)_Phụ luc goi 5" xfId="536"/>
    <cellStyle name="2_Du toan bo sung (11-2004)" xfId="537"/>
    <cellStyle name="2_Du toan Cang Vung Ang (Tham tra 3-11-06)" xfId="538"/>
    <cellStyle name="2_Du toan Cang Vung Ang ngay 09-8-06 " xfId="539"/>
    <cellStyle name="2_Du toan dieu chin theo don gia moi (1-2-2007)" xfId="540"/>
    <cellStyle name="2_Du toan Goi 1" xfId="541"/>
    <cellStyle name="2_du toan goi 12" xfId="542"/>
    <cellStyle name="2_Du toan Goi 2" xfId="543"/>
    <cellStyle name="2_Du toan Huong Lam - Ban Giang (ngay28-11-06)" xfId="544"/>
    <cellStyle name="2_Du toan KT-TCsua theo TT 03 - YC 471" xfId="545"/>
    <cellStyle name="2_Du toan ngay (28-10-2005)" xfId="546"/>
    <cellStyle name="2_Du toan ngay 1-9-2004 (version 1)" xfId="547"/>
    <cellStyle name="2_Du toan Phuong lam" xfId="548"/>
    <cellStyle name="2_Du toan QL 27 (23-12-2005)" xfId="549"/>
    <cellStyle name="2_DuAnKT ngay 11-2-2006" xfId="550"/>
    <cellStyle name="2_DUONGNOIVUNG-QTHANG-QLUU" xfId="551"/>
    <cellStyle name="2_Gia goi 1" xfId="552"/>
    <cellStyle name="2_Gia_VL cau-JIBIC-Ha-tinh" xfId="553"/>
    <cellStyle name="2_Gia_VLQL48_duyet " xfId="554"/>
    <cellStyle name="2_Gia_VLQL48_duyet _Phụ luc goi 5" xfId="555"/>
    <cellStyle name="2_goi 1" xfId="556"/>
    <cellStyle name="2_Goi 1 (TT04)" xfId="557"/>
    <cellStyle name="2_goi 1 duyet theo luong mo (an)" xfId="558"/>
    <cellStyle name="2_Goi 1_1" xfId="559"/>
    <cellStyle name="2_Goi so 1" xfId="560"/>
    <cellStyle name="2_Goi thau so 2 (20-6-2006)" xfId="561"/>
    <cellStyle name="2_Goi02(25-05-2006)" xfId="562"/>
    <cellStyle name="2_Goi1N206" xfId="563"/>
    <cellStyle name="2_Goi2N206" xfId="564"/>
    <cellStyle name="2_Goi4N216" xfId="565"/>
    <cellStyle name="2_Goi5N216" xfId="566"/>
    <cellStyle name="2_Hoi Song" xfId="567"/>
    <cellStyle name="2_HT-LO" xfId="568"/>
    <cellStyle name="2_Khoi luong" xfId="569"/>
    <cellStyle name="2_Khoi luong doan 1" xfId="570"/>
    <cellStyle name="2_Khoi luong doan 2" xfId="571"/>
    <cellStyle name="2_Khoi luong goi 1-QL4D" xfId="572"/>
    <cellStyle name="2_Khoi Luong Hoang Truong - Hoang Phu" xfId="573"/>
    <cellStyle name="2_Khoi luong QL8B" xfId="574"/>
    <cellStyle name="2_KL" xfId="575"/>
    <cellStyle name="2_KL goi 1" xfId="576"/>
    <cellStyle name="2_Kl6-6-05" xfId="577"/>
    <cellStyle name="2_Kldoan3" xfId="578"/>
    <cellStyle name="2_Klnutgiao" xfId="579"/>
    <cellStyle name="2_KLPA2s" xfId="580"/>
    <cellStyle name="2_KlQdinhduyet" xfId="581"/>
    <cellStyle name="2_KlQdinhduyet_Phụ luc goi 5" xfId="582"/>
    <cellStyle name="2_KlQL4goi5KCS" xfId="583"/>
    <cellStyle name="2_Kltayth" xfId="584"/>
    <cellStyle name="2_KltaythQDduyet" xfId="585"/>
    <cellStyle name="2_Kluong4-2004" xfId="586"/>
    <cellStyle name="2_Km329-Km350 (7-6)" xfId="587"/>
    <cellStyle name="2_Km4-Km8+800" xfId="588"/>
    <cellStyle name="2_Long_Lien_Phuong_BVTC" xfId="589"/>
    <cellStyle name="2_Luong A6" xfId="590"/>
    <cellStyle name="2_maugiacotaluy" xfId="591"/>
    <cellStyle name="2_My Thanh Son Thanh" xfId="592"/>
    <cellStyle name="2_Nhom I" xfId="593"/>
    <cellStyle name="2_Project N.Du" xfId="594"/>
    <cellStyle name="2_Project N.Du.dien" xfId="595"/>
    <cellStyle name="2_Project QL4" xfId="596"/>
    <cellStyle name="2_Project QL4 goi 7" xfId="597"/>
    <cellStyle name="2_Project QL4 goi5" xfId="598"/>
    <cellStyle name="2_Project QL4 goi8" xfId="599"/>
    <cellStyle name="2_QL1A-SUA2005" xfId="600"/>
    <cellStyle name="2_Sheet1" xfId="601"/>
    <cellStyle name="2_SuoiTon" xfId="602"/>
    <cellStyle name="2_t" xfId="603"/>
    <cellStyle name="2_Tay THoa" xfId="604"/>
    <cellStyle name="2_Tham tra (8-11)1" xfId="605"/>
    <cellStyle name="2_THKLsua_cuoi" xfId="606"/>
    <cellStyle name="2_Tinh KLHC goi 1" xfId="607"/>
    <cellStyle name="2_tmthiet ke" xfId="608"/>
    <cellStyle name="2_tmthiet ke1" xfId="609"/>
    <cellStyle name="2_Tong hop DT dieu chinh duong 38-95" xfId="610"/>
    <cellStyle name="2_Tong hop khoi luong duong 557 (30-5-2006)" xfId="611"/>
    <cellStyle name="2_tong hop kl nen mat" xfId="612"/>
    <cellStyle name="2_Tong muc dau tu" xfId="613"/>
    <cellStyle name="2_Tong muc KT 20-11 Tan Huong Tuyen2" xfId="614"/>
    <cellStyle name="2_TRUNG PMU 5" xfId="615"/>
    <cellStyle name="2_Tuyen so 1-Km0+00 - Km0+852.56" xfId="616"/>
    <cellStyle name="2_TV sua ngay 02-08-06" xfId="617"/>
    <cellStyle name="2_VatLieu 3 cau -NA" xfId="618"/>
    <cellStyle name="2_Yen Na - Yen Tinh  du an 30 -10-2006- Theo 51 bu may" xfId="619"/>
    <cellStyle name="2_Yen Na - Yen Tinh Theo 51 bu may Ghep" xfId="620"/>
    <cellStyle name="2_Yen Na - Yen Tinh Theo 51 -TV NA Ghep" xfId="621"/>
    <cellStyle name="2_Yen Na-Yen Tinh 07" xfId="622"/>
    <cellStyle name="2_ÿÿÿÿÿ" xfId="623"/>
    <cellStyle name="2_ÿÿÿÿÿ_1" xfId="624"/>
    <cellStyle name="2_ÿÿÿÿÿ_Bao cao thang G1" xfId="625"/>
    <cellStyle name="2_ÿÿÿÿÿ_Book1" xfId="626"/>
    <cellStyle name="2_ÿÿÿÿÿ_Book1_Phụ luc goi 5" xfId="627"/>
    <cellStyle name="2_ÿÿÿÿÿ_Don gia Goi thau so 1 (872)" xfId="628"/>
    <cellStyle name="2_ÿÿÿÿÿ_DTduong-goi1" xfId="629"/>
    <cellStyle name="2_ÿÿÿÿÿ_dutoanLCSP04-km0-5-goi1 (Ban 5 sua 24-8)" xfId="630"/>
    <cellStyle name="2_ÿÿÿÿÿ_Tinh KLHC goi 1" xfId="631"/>
    <cellStyle name="2_ÿÿÿÿÿ_Tong hop DT dieu chinh duong 38-95" xfId="632"/>
    <cellStyle name="20" xfId="633"/>
    <cellStyle name="20% - Accent1 2" xfId="634"/>
    <cellStyle name="20% - Accent2 2" xfId="635"/>
    <cellStyle name="20% - Accent3 2" xfId="636"/>
    <cellStyle name="20% - Accent4 2" xfId="637"/>
    <cellStyle name="20% - Accent5 2" xfId="638"/>
    <cellStyle name="20% - Accent6 2" xfId="639"/>
    <cellStyle name="20% - Nhấn1" xfId="640"/>
    <cellStyle name="20% - Nhấn2" xfId="641"/>
    <cellStyle name="20% - Nhấn3" xfId="642"/>
    <cellStyle name="20% - Nhấn4" xfId="643"/>
    <cellStyle name="20% - Nhấn5" xfId="644"/>
    <cellStyle name="20% - Nhấn6" xfId="645"/>
    <cellStyle name="3" xfId="646"/>
    <cellStyle name="3_0D5B6000" xfId="647"/>
    <cellStyle name="3_6.Bang_luong_moi_XDCB" xfId="648"/>
    <cellStyle name="3_A che do KS +chi BQL" xfId="649"/>
    <cellStyle name="3_BANG CAM COC GPMB 8km" xfId="650"/>
    <cellStyle name="3_Bang tong hop khoi luong" xfId="651"/>
    <cellStyle name="3_BC thang" xfId="652"/>
    <cellStyle name="3_Book1" xfId="653"/>
    <cellStyle name="3_Book1_02-07 Tuyen chinh" xfId="654"/>
    <cellStyle name="3_Book1_02-07Tuyen Nhanh" xfId="655"/>
    <cellStyle name="3_Book1_1" xfId="656"/>
    <cellStyle name="3_Book1_1_Phụ luc goi 5" xfId="657"/>
    <cellStyle name="3_Book1_BC thang" xfId="658"/>
    <cellStyle name="3_Book1_Book1" xfId="659"/>
    <cellStyle name="3_Book1_Cau Hoa Son Km 1+441.06 (14-12-2006)" xfId="660"/>
    <cellStyle name="3_Book1_Cau Hoa Son Km 1+441.06 (22-10-2006)" xfId="661"/>
    <cellStyle name="3_Book1_Cau Hoa Son Km 1+441.06 (24-10-2006)" xfId="662"/>
    <cellStyle name="3_Book1_Cau Nam Tot(ngay 2-10-2006)" xfId="663"/>
    <cellStyle name="3_Book1_CAU XOP XANG II(su­a)" xfId="664"/>
    <cellStyle name="3_Book1_Dieu phoi dat goi 1" xfId="665"/>
    <cellStyle name="3_Book1_Dieu phoi dat goi 2" xfId="666"/>
    <cellStyle name="3_Book1_DT 27-9-2006 nop SKH" xfId="667"/>
    <cellStyle name="3_Book1_DT Kha thi ngay 11-2-06" xfId="668"/>
    <cellStyle name="3_Book1_DT ngay 04-01-2006" xfId="669"/>
    <cellStyle name="3_Book1_DT ngay 11-4-2006" xfId="670"/>
    <cellStyle name="3_Book1_DT ngay 15-11-05" xfId="671"/>
    <cellStyle name="3_Book1_DT theo DM24" xfId="672"/>
    <cellStyle name="3_Book1_DT Yen Na - Yen Tinh Theo 51 bu may CT8" xfId="673"/>
    <cellStyle name="3_Book1_Du toan KT-TCsua theo TT 03 - YC 471" xfId="674"/>
    <cellStyle name="3_Book1_Du toan Phuong lam" xfId="675"/>
    <cellStyle name="3_Book1_Du toan QL 27 (23-12-2005)" xfId="676"/>
    <cellStyle name="3_Book1_DuAnKT ngay 11-2-2006" xfId="677"/>
    <cellStyle name="3_Book1_Goi 1" xfId="678"/>
    <cellStyle name="3_Book1_Goi thau so 2 (20-6-2006)" xfId="679"/>
    <cellStyle name="3_Book1_Goi02(25-05-2006)" xfId="680"/>
    <cellStyle name="3_Book1_K C N - HUNG DONG L.NHUA" xfId="681"/>
    <cellStyle name="3_Book1_Khoi Luong Hoang Truong - Hoang Phu" xfId="682"/>
    <cellStyle name="3_Book1_KLdao chuan" xfId="683"/>
    <cellStyle name="3_Book1_Muong TL" xfId="684"/>
    <cellStyle name="3_Book1_Sua -  Nam Cam 07" xfId="685"/>
    <cellStyle name="3_Book1_T4-nhanh1(17-6)" xfId="686"/>
    <cellStyle name="3_Book1_Tong muc KT 20-11 Tan Huong Tuyen2" xfId="687"/>
    <cellStyle name="3_Book1_Tuyen so 1-Km0+00 - Km0+852.56" xfId="688"/>
    <cellStyle name="3_Book1_TV sua ngay 02-08-06" xfId="689"/>
    <cellStyle name="3_Book1_xop nhi Gia Q4( 7-3-07)" xfId="690"/>
    <cellStyle name="3_Book1_Yen Na-Yen Tinh 07" xfId="691"/>
    <cellStyle name="3_Book1_Yen Na-Yen tinh 11" xfId="692"/>
    <cellStyle name="3_Book1_ÿÿÿÿÿ" xfId="693"/>
    <cellStyle name="3_C" xfId="694"/>
    <cellStyle name="3_Cau Hoi 115" xfId="695"/>
    <cellStyle name="3_Cau Hua Trai (TT 04)" xfId="696"/>
    <cellStyle name="3_Cau Nam Tot(ngay 2-10-2006)" xfId="697"/>
    <cellStyle name="3_Cau Thanh Ha 1" xfId="698"/>
    <cellStyle name="3_Cau thuy dien Ban La (Cu Anh)" xfId="699"/>
    <cellStyle name="3_Cau thuy dien Ban La (Cu Anh) 2" xfId="700"/>
    <cellStyle name="3_Cau thuy dien Ban La (Cu Anh)_Phụ luc goi 5" xfId="701"/>
    <cellStyle name="3_CAU XOP XANG II(su­a)" xfId="702"/>
    <cellStyle name="3_Chau Thon - Tan Xuan (KCS 8-12-06)" xfId="703"/>
    <cellStyle name="3_Chi phi KS" xfId="704"/>
    <cellStyle name="3_cong" xfId="705"/>
    <cellStyle name="3_cuong sua 9.10" xfId="706"/>
    <cellStyle name="3_Dakt-Cau tinh Hua Phan" xfId="707"/>
    <cellStyle name="3_DIEN" xfId="708"/>
    <cellStyle name="3_Dieu phoi dat goi 1" xfId="709"/>
    <cellStyle name="3_Dieu phoi dat goi 2" xfId="710"/>
    <cellStyle name="3_Dinh muc thiet ke" xfId="711"/>
    <cellStyle name="3_DONGIA" xfId="712"/>
    <cellStyle name="3_DT Kha thi ngay 11-2-06" xfId="713"/>
    <cellStyle name="3_DT KS Cam LAc-10-05-07" xfId="714"/>
    <cellStyle name="3_DT KT ngay 10-9-2005" xfId="715"/>
    <cellStyle name="3_DT ngay 04-01-2006" xfId="716"/>
    <cellStyle name="3_DT ngay 11-4-2006" xfId="717"/>
    <cellStyle name="3_DT ngay 15-11-05" xfId="718"/>
    <cellStyle name="3_DT theo DM24" xfId="719"/>
    <cellStyle name="3_DT Yen Na - Yen Tinh Theo 51 bu may CT8" xfId="720"/>
    <cellStyle name="3_Dtdchinh2397" xfId="721"/>
    <cellStyle name="3_Dtdchinh2397_Phụ luc goi 5" xfId="722"/>
    <cellStyle name="3_DTXL goi 11(20-9-05)" xfId="723"/>
    <cellStyle name="3_du toan" xfId="724"/>
    <cellStyle name="3_du toan (03-11-05)" xfId="725"/>
    <cellStyle name="3_Du toan (12-05-2005) Tham dinh" xfId="726"/>
    <cellStyle name="3_Du toan (23-05-2005) Tham dinh" xfId="727"/>
    <cellStyle name="3_Du toan (5 - 04 - 2004)" xfId="728"/>
    <cellStyle name="3_Du toan (6-3-2005)" xfId="729"/>
    <cellStyle name="3_Du toan (Ban A)" xfId="730"/>
    <cellStyle name="3_Du toan (ngay 13 - 07 - 2004)" xfId="731"/>
    <cellStyle name="3_Du toan (ngay 25-9-06)" xfId="732"/>
    <cellStyle name="3_Du toan 558 (Km17+508.12 - Km 22)" xfId="733"/>
    <cellStyle name="3_Du toan 558 (Km17+508.12 - Km 22) 2" xfId="734"/>
    <cellStyle name="3_Du toan 558 (Km17+508.12 - Km 22)_Phụ luc goi 5" xfId="735"/>
    <cellStyle name="3_Du toan bo sung (11-2004)" xfId="736"/>
    <cellStyle name="3_Du toan Cang Vung Ang (Tham tra 3-11-06)" xfId="737"/>
    <cellStyle name="3_Du toan Cang Vung Ang ngay 09-8-06 " xfId="738"/>
    <cellStyle name="3_Du toan dieu chin theo don gia moi (1-2-2007)" xfId="739"/>
    <cellStyle name="3_Du toan Goi 1" xfId="740"/>
    <cellStyle name="3_du toan goi 12" xfId="741"/>
    <cellStyle name="3_Du toan Goi 2" xfId="742"/>
    <cellStyle name="3_Du toan Huong Lam - Ban Giang (ngay28-11-06)" xfId="743"/>
    <cellStyle name="3_Du toan KT-TCsua theo TT 03 - YC 471" xfId="744"/>
    <cellStyle name="3_Du toan ngay (28-10-2005)" xfId="745"/>
    <cellStyle name="3_Du toan ngay 1-9-2004 (version 1)" xfId="746"/>
    <cellStyle name="3_Du toan Phuong lam" xfId="747"/>
    <cellStyle name="3_Du toan QL 27 (23-12-2005)" xfId="748"/>
    <cellStyle name="3_DuAnKT ngay 11-2-2006" xfId="749"/>
    <cellStyle name="3_DUONGNOIVUNG-QTHANG-QLUU" xfId="750"/>
    <cellStyle name="3_Gia goi 1" xfId="751"/>
    <cellStyle name="3_Gia_VL cau-JIBIC-Ha-tinh" xfId="752"/>
    <cellStyle name="3_Gia_VLQL48_duyet " xfId="753"/>
    <cellStyle name="3_Gia_VLQL48_duyet _Phụ luc goi 5" xfId="754"/>
    <cellStyle name="3_goi 1" xfId="755"/>
    <cellStyle name="3_Goi 1 (TT04)" xfId="756"/>
    <cellStyle name="3_goi 1 duyet theo luong mo (an)" xfId="757"/>
    <cellStyle name="3_Goi 1_1" xfId="758"/>
    <cellStyle name="3_Goi so 1" xfId="759"/>
    <cellStyle name="3_Goi thau so 2 (20-6-2006)" xfId="760"/>
    <cellStyle name="3_Goi02(25-05-2006)" xfId="761"/>
    <cellStyle name="3_Goi1N206" xfId="762"/>
    <cellStyle name="3_Goi2N206" xfId="763"/>
    <cellStyle name="3_Goi4N216" xfId="764"/>
    <cellStyle name="3_Goi5N216" xfId="765"/>
    <cellStyle name="3_Hoi Song" xfId="766"/>
    <cellStyle name="3_HT-LO" xfId="767"/>
    <cellStyle name="3_Khoi luong" xfId="768"/>
    <cellStyle name="3_Khoi luong doan 1" xfId="769"/>
    <cellStyle name="3_Khoi luong doan 2" xfId="770"/>
    <cellStyle name="3_Khoi luong goi 1-QL4D" xfId="771"/>
    <cellStyle name="3_Khoi Luong Hoang Truong - Hoang Phu" xfId="772"/>
    <cellStyle name="3_Khoi luong QL8B" xfId="773"/>
    <cellStyle name="3_KL" xfId="774"/>
    <cellStyle name="3_KL goi 1" xfId="775"/>
    <cellStyle name="3_Kl6-6-05" xfId="776"/>
    <cellStyle name="3_Kldoan3" xfId="777"/>
    <cellStyle name="3_Klnutgiao" xfId="778"/>
    <cellStyle name="3_KLPA2s" xfId="779"/>
    <cellStyle name="3_KlQdinhduyet" xfId="780"/>
    <cellStyle name="3_KlQdinhduyet_Phụ luc goi 5" xfId="781"/>
    <cellStyle name="3_KlQL4goi5KCS" xfId="782"/>
    <cellStyle name="3_Kltayth" xfId="783"/>
    <cellStyle name="3_KltaythQDduyet" xfId="784"/>
    <cellStyle name="3_Kluong4-2004" xfId="785"/>
    <cellStyle name="3_Km329-Km350 (7-6)" xfId="786"/>
    <cellStyle name="3_Km4-Km8+800" xfId="787"/>
    <cellStyle name="3_Long_Lien_Phuong_BVTC" xfId="788"/>
    <cellStyle name="3_Luong A6" xfId="789"/>
    <cellStyle name="3_maugiacotaluy" xfId="790"/>
    <cellStyle name="3_My Thanh Son Thanh" xfId="791"/>
    <cellStyle name="3_Nhom I" xfId="792"/>
    <cellStyle name="3_Project N.Du" xfId="793"/>
    <cellStyle name="3_Project N.Du.dien" xfId="794"/>
    <cellStyle name="3_Project QL4" xfId="795"/>
    <cellStyle name="3_Project QL4 goi 7" xfId="796"/>
    <cellStyle name="3_Project QL4 goi5" xfId="797"/>
    <cellStyle name="3_Project QL4 goi8" xfId="798"/>
    <cellStyle name="3_QL1A-SUA2005" xfId="799"/>
    <cellStyle name="3_Sheet1" xfId="800"/>
    <cellStyle name="3_SuoiTon" xfId="801"/>
    <cellStyle name="3_t" xfId="802"/>
    <cellStyle name="3_Tay THoa" xfId="803"/>
    <cellStyle name="3_Tham tra (8-11)1" xfId="804"/>
    <cellStyle name="3_THKLsua_cuoi" xfId="805"/>
    <cellStyle name="3_Tinh KLHC goi 1" xfId="806"/>
    <cellStyle name="3_tmthiet ke" xfId="807"/>
    <cellStyle name="3_tmthiet ke1" xfId="808"/>
    <cellStyle name="3_Tong hop DT dieu chinh duong 38-95" xfId="809"/>
    <cellStyle name="3_Tong hop khoi luong duong 557 (30-5-2006)" xfId="810"/>
    <cellStyle name="3_tong hop kl nen mat" xfId="811"/>
    <cellStyle name="3_Tong muc dau tu" xfId="812"/>
    <cellStyle name="3_Tong muc KT 20-11 Tan Huong Tuyen2" xfId="813"/>
    <cellStyle name="3_Tuyen so 1-Km0+00 - Km0+852.56" xfId="814"/>
    <cellStyle name="3_TV sua ngay 02-08-06" xfId="815"/>
    <cellStyle name="3_VatLieu 3 cau -NA" xfId="816"/>
    <cellStyle name="3_Yen Na - Yen Tinh  du an 30 -10-2006- Theo 51 bu may" xfId="817"/>
    <cellStyle name="3_Yen Na - Yen Tinh Theo 51 bu may Ghep" xfId="818"/>
    <cellStyle name="3_Yen Na - Yen Tinh Theo 51 -TV NA Ghep" xfId="819"/>
    <cellStyle name="3_Yen Na-Yen Tinh 07" xfId="820"/>
    <cellStyle name="3_ÿÿÿÿÿ" xfId="821"/>
    <cellStyle name="3_ÿÿÿÿÿ_1" xfId="822"/>
    <cellStyle name="4" xfId="823"/>
    <cellStyle name="4_0D5B6000" xfId="824"/>
    <cellStyle name="4_6.Bang_luong_moi_XDCB" xfId="825"/>
    <cellStyle name="4_A che do KS +chi BQL" xfId="826"/>
    <cellStyle name="4_BANG CAM COC GPMB 8km" xfId="827"/>
    <cellStyle name="4_Bang tong hop khoi luong" xfId="828"/>
    <cellStyle name="4_BC thang" xfId="829"/>
    <cellStyle name="4_Book1" xfId="830"/>
    <cellStyle name="4_Book1_02-07 Tuyen chinh" xfId="831"/>
    <cellStyle name="4_Book1_02-07Tuyen Nhanh" xfId="832"/>
    <cellStyle name="4_Book1_1" xfId="833"/>
    <cellStyle name="4_Book1_1_Phụ luc goi 5" xfId="834"/>
    <cellStyle name="4_Book1_BC thang" xfId="835"/>
    <cellStyle name="4_Book1_Book1" xfId="836"/>
    <cellStyle name="4_Book1_Cau Hoa Son Km 1+441.06 (14-12-2006)" xfId="837"/>
    <cellStyle name="4_Book1_Cau Hoa Son Km 1+441.06 (22-10-2006)" xfId="838"/>
    <cellStyle name="4_Book1_Cau Hoa Son Km 1+441.06 (24-10-2006)" xfId="839"/>
    <cellStyle name="4_Book1_Cau Nam Tot(ngay 2-10-2006)" xfId="840"/>
    <cellStyle name="4_Book1_CAU XOP XANG II(su­a)" xfId="841"/>
    <cellStyle name="4_Book1_Dieu phoi dat goi 1" xfId="842"/>
    <cellStyle name="4_Book1_Dieu phoi dat goi 2" xfId="843"/>
    <cellStyle name="4_Book1_DT 27-9-2006 nop SKH" xfId="844"/>
    <cellStyle name="4_Book1_DT Kha thi ngay 11-2-06" xfId="845"/>
    <cellStyle name="4_Book1_DT ngay 04-01-2006" xfId="846"/>
    <cellStyle name="4_Book1_DT ngay 11-4-2006" xfId="847"/>
    <cellStyle name="4_Book1_DT ngay 15-11-05" xfId="848"/>
    <cellStyle name="4_Book1_DT theo DM24" xfId="849"/>
    <cellStyle name="4_Book1_DT Yen Na - Yen Tinh Theo 51 bu may CT8" xfId="850"/>
    <cellStyle name="4_Book1_Du toan KT-TCsua theo TT 03 - YC 471" xfId="851"/>
    <cellStyle name="4_Book1_Du toan Phuong lam" xfId="852"/>
    <cellStyle name="4_Book1_Du toan QL 27 (23-12-2005)" xfId="853"/>
    <cellStyle name="4_Book1_DuAnKT ngay 11-2-2006" xfId="854"/>
    <cellStyle name="4_Book1_Goi 1" xfId="855"/>
    <cellStyle name="4_Book1_Goi thau so 2 (20-6-2006)" xfId="856"/>
    <cellStyle name="4_Book1_Goi02(25-05-2006)" xfId="857"/>
    <cellStyle name="4_Book1_K C N - HUNG DONG L.NHUA" xfId="858"/>
    <cellStyle name="4_Book1_Khoi Luong Hoang Truong - Hoang Phu" xfId="859"/>
    <cellStyle name="4_Book1_KLdao chuan" xfId="860"/>
    <cellStyle name="4_Book1_Muong TL" xfId="861"/>
    <cellStyle name="4_Book1_Sua -  Nam Cam 07" xfId="862"/>
    <cellStyle name="4_Book1_T4-nhanh1(17-6)" xfId="863"/>
    <cellStyle name="4_Book1_Tong muc KT 20-11 Tan Huong Tuyen2" xfId="864"/>
    <cellStyle name="4_Book1_Tuyen so 1-Km0+00 - Km0+852.56" xfId="865"/>
    <cellStyle name="4_Book1_TV sua ngay 02-08-06" xfId="866"/>
    <cellStyle name="4_Book1_xop nhi Gia Q4( 7-3-07)" xfId="867"/>
    <cellStyle name="4_Book1_Yen Na-Yen Tinh 07" xfId="868"/>
    <cellStyle name="4_Book1_Yen Na-Yen tinh 11" xfId="869"/>
    <cellStyle name="4_Book1_ÿÿÿÿÿ" xfId="870"/>
    <cellStyle name="4_C" xfId="871"/>
    <cellStyle name="4_Cau Hoi 115" xfId="872"/>
    <cellStyle name="4_Cau Hua Trai (TT 04)" xfId="873"/>
    <cellStyle name="4_Cau Nam Tot(ngay 2-10-2006)" xfId="874"/>
    <cellStyle name="4_Cau Thanh Ha 1" xfId="875"/>
    <cellStyle name="4_Cau thuy dien Ban La (Cu Anh)" xfId="876"/>
    <cellStyle name="4_Cau thuy dien Ban La (Cu Anh) 2" xfId="877"/>
    <cellStyle name="4_Cau thuy dien Ban La (Cu Anh)_Phụ luc goi 5" xfId="878"/>
    <cellStyle name="4_CAU XOP XANG II(su­a)" xfId="879"/>
    <cellStyle name="4_Chau Thon - Tan Xuan (KCS 8-12-06)" xfId="880"/>
    <cellStyle name="4_Chi phi KS" xfId="881"/>
    <cellStyle name="4_cong" xfId="882"/>
    <cellStyle name="4_cuong sua 9.10" xfId="883"/>
    <cellStyle name="4_Dakt-Cau tinh Hua Phan" xfId="884"/>
    <cellStyle name="4_DIEN" xfId="885"/>
    <cellStyle name="4_Dieu phoi dat goi 1" xfId="886"/>
    <cellStyle name="4_Dieu phoi dat goi 2" xfId="887"/>
    <cellStyle name="4_Dinh muc thiet ke" xfId="888"/>
    <cellStyle name="4_DONGIA" xfId="889"/>
    <cellStyle name="4_DT Kha thi ngay 11-2-06" xfId="890"/>
    <cellStyle name="4_DT KS Cam LAc-10-05-07" xfId="891"/>
    <cellStyle name="4_DT KT ngay 10-9-2005" xfId="892"/>
    <cellStyle name="4_DT ngay 04-01-2006" xfId="893"/>
    <cellStyle name="4_DT ngay 11-4-2006" xfId="894"/>
    <cellStyle name="4_DT ngay 15-11-05" xfId="895"/>
    <cellStyle name="4_DT theo DM24" xfId="896"/>
    <cellStyle name="4_DT Yen Na - Yen Tinh Theo 51 bu may CT8" xfId="897"/>
    <cellStyle name="4_Dtdchinh2397" xfId="898"/>
    <cellStyle name="4_Dtdchinh2397_Phụ luc goi 5" xfId="899"/>
    <cellStyle name="4_DTXL goi 11(20-9-05)" xfId="900"/>
    <cellStyle name="4_du toan" xfId="901"/>
    <cellStyle name="4_du toan (03-11-05)" xfId="902"/>
    <cellStyle name="4_Du toan (12-05-2005) Tham dinh" xfId="903"/>
    <cellStyle name="4_Du toan (23-05-2005) Tham dinh" xfId="904"/>
    <cellStyle name="4_Du toan (5 - 04 - 2004)" xfId="905"/>
    <cellStyle name="4_Du toan (6-3-2005)" xfId="906"/>
    <cellStyle name="4_Du toan (Ban A)" xfId="907"/>
    <cellStyle name="4_Du toan (ngay 13 - 07 - 2004)" xfId="908"/>
    <cellStyle name="4_Du toan (ngay 25-9-06)" xfId="909"/>
    <cellStyle name="4_Du toan 558 (Km17+508.12 - Km 22)" xfId="910"/>
    <cellStyle name="4_Du toan 558 (Km17+508.12 - Km 22) 2" xfId="911"/>
    <cellStyle name="4_Du toan 558 (Km17+508.12 - Km 22)_Phụ luc goi 5" xfId="912"/>
    <cellStyle name="4_Du toan bo sung (11-2004)" xfId="913"/>
    <cellStyle name="4_Du toan Cang Vung Ang (Tham tra 3-11-06)" xfId="914"/>
    <cellStyle name="4_Du toan Cang Vung Ang ngay 09-8-06 " xfId="915"/>
    <cellStyle name="4_Du toan dieu chin theo don gia moi (1-2-2007)" xfId="916"/>
    <cellStyle name="4_Du toan Goi 1" xfId="917"/>
    <cellStyle name="4_du toan goi 12" xfId="918"/>
    <cellStyle name="4_Du toan Goi 2" xfId="919"/>
    <cellStyle name="4_Du toan Huong Lam - Ban Giang (ngay28-11-06)" xfId="920"/>
    <cellStyle name="4_Du toan KT-TCsua theo TT 03 - YC 471" xfId="921"/>
    <cellStyle name="4_Du toan ngay (28-10-2005)" xfId="922"/>
    <cellStyle name="4_Du toan ngay 1-9-2004 (version 1)" xfId="923"/>
    <cellStyle name="4_Du toan Phuong lam" xfId="924"/>
    <cellStyle name="4_Du toan QL 27 (23-12-2005)" xfId="925"/>
    <cellStyle name="4_DuAnKT ngay 11-2-2006" xfId="926"/>
    <cellStyle name="4_DUONGNOIVUNG-QTHANG-QLUU" xfId="927"/>
    <cellStyle name="4_Gia goi 1" xfId="928"/>
    <cellStyle name="4_Gia_VL cau-JIBIC-Ha-tinh" xfId="929"/>
    <cellStyle name="4_Gia_VLQL48_duyet " xfId="930"/>
    <cellStyle name="4_Gia_VLQL48_duyet _Phụ luc goi 5" xfId="931"/>
    <cellStyle name="4_goi 1" xfId="932"/>
    <cellStyle name="4_Goi 1 (TT04)" xfId="933"/>
    <cellStyle name="4_goi 1 duyet theo luong mo (an)" xfId="934"/>
    <cellStyle name="4_Goi 1_1" xfId="935"/>
    <cellStyle name="4_Goi so 1" xfId="936"/>
    <cellStyle name="4_Goi thau so 2 (20-6-2006)" xfId="937"/>
    <cellStyle name="4_Goi02(25-05-2006)" xfId="938"/>
    <cellStyle name="4_Goi1N206" xfId="939"/>
    <cellStyle name="4_Goi2N206" xfId="940"/>
    <cellStyle name="4_Goi4N216" xfId="941"/>
    <cellStyle name="4_Goi5N216" xfId="942"/>
    <cellStyle name="4_Hoi Song" xfId="943"/>
    <cellStyle name="4_HT-LO" xfId="944"/>
    <cellStyle name="4_Khoi luong" xfId="945"/>
    <cellStyle name="4_Khoi luong doan 1" xfId="946"/>
    <cellStyle name="4_Khoi luong doan 2" xfId="947"/>
    <cellStyle name="4_Khoi luong goi 1-QL4D" xfId="948"/>
    <cellStyle name="4_Khoi Luong Hoang Truong - Hoang Phu" xfId="949"/>
    <cellStyle name="4_Khoi luong QL8B" xfId="950"/>
    <cellStyle name="4_KL" xfId="951"/>
    <cellStyle name="4_KL goi 1" xfId="952"/>
    <cellStyle name="4_Kl6-6-05" xfId="953"/>
    <cellStyle name="4_Kldoan3" xfId="954"/>
    <cellStyle name="4_Klnutgiao" xfId="955"/>
    <cellStyle name="4_KLPA2s" xfId="956"/>
    <cellStyle name="4_KlQdinhduyet" xfId="957"/>
    <cellStyle name="4_KlQdinhduyet_Phụ luc goi 5" xfId="958"/>
    <cellStyle name="4_KlQL4goi5KCS" xfId="959"/>
    <cellStyle name="4_Kltayth" xfId="960"/>
    <cellStyle name="4_KltaythQDduyet" xfId="961"/>
    <cellStyle name="4_Kluong4-2004" xfId="962"/>
    <cellStyle name="4_Km329-Km350 (7-6)" xfId="963"/>
    <cellStyle name="4_Km4-Km8+800" xfId="964"/>
    <cellStyle name="4_Long_Lien_Phuong_BVTC" xfId="965"/>
    <cellStyle name="4_Luong A6" xfId="966"/>
    <cellStyle name="4_maugiacotaluy" xfId="967"/>
    <cellStyle name="4_My Thanh Son Thanh" xfId="968"/>
    <cellStyle name="4_Nhom I" xfId="969"/>
    <cellStyle name="4_Project N.Du" xfId="970"/>
    <cellStyle name="4_Project N.Du.dien" xfId="971"/>
    <cellStyle name="4_Project QL4" xfId="972"/>
    <cellStyle name="4_Project QL4 goi 7" xfId="973"/>
    <cellStyle name="4_Project QL4 goi5" xfId="974"/>
    <cellStyle name="4_Project QL4 goi8" xfId="975"/>
    <cellStyle name="4_QL1A-SUA2005" xfId="976"/>
    <cellStyle name="4_Sheet1" xfId="977"/>
    <cellStyle name="4_SuoiTon" xfId="978"/>
    <cellStyle name="4_t" xfId="979"/>
    <cellStyle name="4_Tay THoa" xfId="980"/>
    <cellStyle name="4_Tham tra (8-11)1" xfId="981"/>
    <cellStyle name="4_THKLsua_cuoi" xfId="982"/>
    <cellStyle name="4_Tinh KLHC goi 1" xfId="983"/>
    <cellStyle name="4_tmthiet ke" xfId="984"/>
    <cellStyle name="4_tmthiet ke1" xfId="985"/>
    <cellStyle name="4_Tong hop DT dieu chinh duong 38-95" xfId="986"/>
    <cellStyle name="4_Tong hop khoi luong duong 557 (30-5-2006)" xfId="987"/>
    <cellStyle name="4_tong hop kl nen mat" xfId="988"/>
    <cellStyle name="4_Tong muc dau tu" xfId="989"/>
    <cellStyle name="4_Tong muc KT 20-11 Tan Huong Tuyen2" xfId="990"/>
    <cellStyle name="4_Tuyen so 1-Km0+00 - Km0+852.56" xfId="991"/>
    <cellStyle name="4_TV sua ngay 02-08-06" xfId="992"/>
    <cellStyle name="4_VatLieu 3 cau -NA" xfId="993"/>
    <cellStyle name="4_Yen Na - Yen Tinh  du an 30 -10-2006- Theo 51 bu may" xfId="994"/>
    <cellStyle name="4_Yen Na - Yen Tinh Theo 51 bu may Ghep" xfId="995"/>
    <cellStyle name="4_Yen Na - Yen Tinh Theo 51 -TV NA Ghep" xfId="996"/>
    <cellStyle name="4_Yen Na-Yen Tinh 07" xfId="997"/>
    <cellStyle name="4_ÿÿÿÿÿ" xfId="998"/>
    <cellStyle name="4_ÿÿÿÿÿ_1" xfId="999"/>
    <cellStyle name="40% - Accent1 2" xfId="1000"/>
    <cellStyle name="40% - Accent2 2" xfId="1001"/>
    <cellStyle name="40% - Accent3 2" xfId="1002"/>
    <cellStyle name="40% - Accent4 2" xfId="1003"/>
    <cellStyle name="40% - Accent5 2" xfId="1004"/>
    <cellStyle name="40% - Accent6 2" xfId="1005"/>
    <cellStyle name="40% - Nhấn1" xfId="1006"/>
    <cellStyle name="40% - Nhấn2" xfId="1007"/>
    <cellStyle name="40% - Nhấn3" xfId="1008"/>
    <cellStyle name="40% - Nhấn4" xfId="1009"/>
    <cellStyle name="40% - Nhấn5" xfId="1010"/>
    <cellStyle name="40% - Nhấn6" xfId="1011"/>
    <cellStyle name="6" xfId="1012"/>
    <cellStyle name="6_Book1" xfId="1013"/>
    <cellStyle name="6_Book1_1" xfId="1014"/>
    <cellStyle name="6_Book1_Tuyen (21-7-11)-doan 1" xfId="1015"/>
    <cellStyle name="6_Du toan du thau Cautreo" xfId="1016"/>
    <cellStyle name="6_Phụ luc goi 5" xfId="1017"/>
    <cellStyle name="6_TDT 3 xa VA chinh thuc" xfId="1018"/>
    <cellStyle name="6_TDT-TMDT 3 xa VA dich" xfId="1019"/>
    <cellStyle name="6_Tuyen (20-6-11 PA 2)" xfId="1020"/>
    <cellStyle name="60% - Accent1 2" xfId="1021"/>
    <cellStyle name="60% - Accent2 2" xfId="1022"/>
    <cellStyle name="60% - Accent3 2" xfId="1023"/>
    <cellStyle name="60% - Accent4 2" xfId="1024"/>
    <cellStyle name="60% - Accent5 2" xfId="1025"/>
    <cellStyle name="60% - Accent6 2" xfId="1026"/>
    <cellStyle name="60% - Nhấn1" xfId="1027"/>
    <cellStyle name="60% - Nhấn2" xfId="1028"/>
    <cellStyle name="60% - Nhấn3" xfId="1029"/>
    <cellStyle name="60% - Nhấn4" xfId="1030"/>
    <cellStyle name="60% - Nhấn5" xfId="1031"/>
    <cellStyle name="60% - Nhấn6" xfId="1032"/>
    <cellStyle name="a" xfId="1033"/>
    <cellStyle name="_x0001_Å»_x001e_´ " xfId="1034"/>
    <cellStyle name="_x0001_Å»_x001e_´_" xfId="1035"/>
    <cellStyle name="Accent1 2" xfId="1036"/>
    <cellStyle name="Accent2 2" xfId="1037"/>
    <cellStyle name="Accent3 2" xfId="1038"/>
    <cellStyle name="Accent4 2" xfId="1039"/>
    <cellStyle name="Accent5 2" xfId="1040"/>
    <cellStyle name="Accent6 2" xfId="1041"/>
    <cellStyle name="ÅëÈ­" xfId="1042"/>
    <cellStyle name="ÅëÈ­ [0]" xfId="1043"/>
    <cellStyle name="AeE­ [0]_INQUIRY ¿?¾÷AßAø " xfId="1044"/>
    <cellStyle name="ÅëÈ­ [0]_L601CPT" xfId="1045"/>
    <cellStyle name="ÅëÈ­_      " xfId="1046"/>
    <cellStyle name="AeE­_INQUIRY ¿?¾÷AßAø " xfId="1047"/>
    <cellStyle name="ÅëÈ­_L601CPT" xfId="1048"/>
    <cellStyle name="args.style" xfId="1049"/>
    <cellStyle name="arial" xfId="1050"/>
    <cellStyle name="ÄÞ¸¶ [0]" xfId="1051"/>
    <cellStyle name="AÞ¸¶ [0]_INQUIRY ¿?¾÷AßAø " xfId="1052"/>
    <cellStyle name="ÄÞ¸¶ [0]_L601CPT" xfId="1053"/>
    <cellStyle name="ÄÞ¸¶_      " xfId="1054"/>
    <cellStyle name="AÞ¸¶_INQUIRY ¿?¾÷AßAø " xfId="1055"/>
    <cellStyle name="ÄÞ¸¶_L601CPT" xfId="1056"/>
    <cellStyle name="AutoFormat Options" xfId="1057"/>
    <cellStyle name="Bad 2" xfId="1058"/>
    <cellStyle name="Body" xfId="1059"/>
    <cellStyle name="C?AØ_¿?¾÷CoE² " xfId="1060"/>
    <cellStyle name="Ç¥ÁØ_      " xfId="1061"/>
    <cellStyle name="C￥AØ_¿μ¾÷CoE² " xfId="1062"/>
    <cellStyle name="Ç¥ÁØ_±¸¹Ì´ëÃ¥" xfId="1063"/>
    <cellStyle name="C￥AØ_≫c¾÷ºIº° AN°e " xfId="1064"/>
    <cellStyle name="Ç¥ÁØ_S" xfId="1065"/>
    <cellStyle name="C￥AØ_Sheet1_¿μ¾÷CoE² " xfId="1066"/>
    <cellStyle name="Ç¥ÁØ_ÿÿÿÿÿÿ_4_ÃÑÇÕ°è " xfId="1067"/>
    <cellStyle name="Calc Currency (0)" xfId="1068"/>
    <cellStyle name="Calc Currency (0) 2" xfId="1069"/>
    <cellStyle name="Calc Currency (0)_TH Nguon NTM 2014" xfId="1070"/>
    <cellStyle name="Calc Currency (2)" xfId="1071"/>
    <cellStyle name="Calc Percent (0)" xfId="1072"/>
    <cellStyle name="Calc Percent (1)" xfId="1073"/>
    <cellStyle name="Calc Percent (2)" xfId="1074"/>
    <cellStyle name="Calc Units (0)" xfId="1075"/>
    <cellStyle name="Calc Units (1)" xfId="1076"/>
    <cellStyle name="Calc Units (2)" xfId="1077"/>
    <cellStyle name="Calculation 2" xfId="1078"/>
    <cellStyle name="category" xfId="1079"/>
    <cellStyle name="CC1" xfId="1080"/>
    <cellStyle name="CC2" xfId="1081"/>
    <cellStyle name="Cerrency_Sheet2_XANGDAU" xfId="1082"/>
    <cellStyle name="chchuyen" xfId="1083"/>
    <cellStyle name="Check Cell 2" xfId="1084"/>
    <cellStyle name="Chi phÝ kh¸c_Book1" xfId="1085"/>
    <cellStyle name="CHUONG" xfId="1086"/>
    <cellStyle name="Comma" xfId="1764" builtinId="3"/>
    <cellStyle name="Comma  - Style1" xfId="1087"/>
    <cellStyle name="Comma  - Style2" xfId="1088"/>
    <cellStyle name="Comma  - Style3" xfId="1089"/>
    <cellStyle name="Comma  - Style4" xfId="1090"/>
    <cellStyle name="Comma  - Style5" xfId="1091"/>
    <cellStyle name="Comma  - Style6" xfId="1092"/>
    <cellStyle name="Comma  - Style7" xfId="1093"/>
    <cellStyle name="Comma  - Style8" xfId="1094"/>
    <cellStyle name="Comma [0] 2" xfId="1095"/>
    <cellStyle name="Comma [0] 3" xfId="1096"/>
    <cellStyle name="Comma [0] 4" xfId="1097"/>
    <cellStyle name="Comma [0] 5" xfId="1098"/>
    <cellStyle name="Comma [0] 6" xfId="1099"/>
    <cellStyle name="Comma [00]" xfId="1100"/>
    <cellStyle name="Comma [1]" xfId="1101"/>
    <cellStyle name="Comma [3]" xfId="1102"/>
    <cellStyle name="Comma [4]" xfId="1103"/>
    <cellStyle name="Comma 10" xfId="1104"/>
    <cellStyle name="Comma 11" xfId="1105"/>
    <cellStyle name="Comma 12" xfId="1106"/>
    <cellStyle name="Comma 13" xfId="1107"/>
    <cellStyle name="Comma 14" xfId="1108"/>
    <cellStyle name="Comma 14 2" xfId="1109"/>
    <cellStyle name="Comma 15" xfId="1110"/>
    <cellStyle name="Comma 16" xfId="1111"/>
    <cellStyle name="Comma 17" xfId="1112"/>
    <cellStyle name="Comma 17 2" xfId="1113"/>
    <cellStyle name="Comma 17 2 2" xfId="1114"/>
    <cellStyle name="Comma 17 2 3" xfId="1115"/>
    <cellStyle name="Comma 17_TH Nguon NTM 2014" xfId="1116"/>
    <cellStyle name="Comma 18" xfId="1117"/>
    <cellStyle name="Comma 18 2" xfId="1118"/>
    <cellStyle name="Comma 19" xfId="1119"/>
    <cellStyle name="Comma 2" xfId="1120"/>
    <cellStyle name="Comma 2 2" xfId="1121"/>
    <cellStyle name="Comma 2 2 2" xfId="1122"/>
    <cellStyle name="Comma 2 3" xfId="1123"/>
    <cellStyle name="Comma 2 4" xfId="1124"/>
    <cellStyle name="Comma 2 5" xfId="1125"/>
    <cellStyle name="Comma 2_Phụ luc goi 5" xfId="1126"/>
    <cellStyle name="Comma 20" xfId="1127"/>
    <cellStyle name="Comma 21" xfId="1128"/>
    <cellStyle name="Comma 22" xfId="1129"/>
    <cellStyle name="Comma 23" xfId="1130"/>
    <cellStyle name="Comma 24" xfId="1131"/>
    <cellStyle name="Comma 24 2" xfId="1132"/>
    <cellStyle name="Comma 24 3" xfId="1133"/>
    <cellStyle name="Comma 25" xfId="1753"/>
    <cellStyle name="Comma 26" xfId="1754"/>
    <cellStyle name="Comma 3" xfId="1134"/>
    <cellStyle name="Comma 3 2" xfId="1135"/>
    <cellStyle name="Comma 3 2 2" xfId="1136"/>
    <cellStyle name="Comma 3 2 3" xfId="1137"/>
    <cellStyle name="Comma 3 3" xfId="1755"/>
    <cellStyle name="Comma 4" xfId="1138"/>
    <cellStyle name="Comma 4 2" xfId="1139"/>
    <cellStyle name="Comma 4_TH Nguon NTM 2014" xfId="1140"/>
    <cellStyle name="Comma 5" xfId="1141"/>
    <cellStyle name="Comma 5 2" xfId="1142"/>
    <cellStyle name="Comma 5_TH Nguon NTM 2014" xfId="1143"/>
    <cellStyle name="Comma 6" xfId="1144"/>
    <cellStyle name="Comma 6 2" xfId="1145"/>
    <cellStyle name="Comma 6_TH Nguon NTM 2014" xfId="1146"/>
    <cellStyle name="Comma 7" xfId="1147"/>
    <cellStyle name="Comma 8" xfId="1148"/>
    <cellStyle name="Comma 9" xfId="1149"/>
    <cellStyle name="comma zerodec" xfId="1150"/>
    <cellStyle name="Comma0" xfId="1151"/>
    <cellStyle name="Comma12" xfId="1152"/>
    <cellStyle name="Comma4" xfId="1153"/>
    <cellStyle name="Copied" xfId="1154"/>
    <cellStyle name="COST1" xfId="1155"/>
    <cellStyle name="Co聭ma_Sheet1" xfId="1156"/>
    <cellStyle name="Cࡵrrency_Sheet1_PRODUCTĠ" xfId="1157"/>
    <cellStyle name="_x0001_CS_x0006_RMO[" xfId="1158"/>
    <cellStyle name="_x0001_CS_x0006_RMO_" xfId="1159"/>
    <cellStyle name="CT1" xfId="1160"/>
    <cellStyle name="CT2" xfId="1161"/>
    <cellStyle name="CT4" xfId="1162"/>
    <cellStyle name="CT5" xfId="1163"/>
    <cellStyle name="ct7" xfId="1164"/>
    <cellStyle name="ct8" xfId="1165"/>
    <cellStyle name="cth1" xfId="1166"/>
    <cellStyle name="Cthuc" xfId="1167"/>
    <cellStyle name="Cthuc1" xfId="1168"/>
    <cellStyle name="Currency [00]" xfId="1169"/>
    <cellStyle name="Currency 2" xfId="1170"/>
    <cellStyle name="Currency0" xfId="1171"/>
    <cellStyle name="Currency1" xfId="1172"/>
    <cellStyle name="d" xfId="1173"/>
    <cellStyle name="d%" xfId="1174"/>
    <cellStyle name="d_Phụ luc goi 5" xfId="1175"/>
    <cellStyle name="D1" xfId="1176"/>
    <cellStyle name="Date" xfId="1177"/>
    <cellStyle name="Date Short" xfId="1178"/>
    <cellStyle name="Đầu ra" xfId="1179"/>
    <cellStyle name="Đầu vào" xfId="1180"/>
    <cellStyle name="Đề mục 1" xfId="1181"/>
    <cellStyle name="Đề mục 2" xfId="1182"/>
    <cellStyle name="Đề mục 3" xfId="1183"/>
    <cellStyle name="Đề mục 4" xfId="1184"/>
    <cellStyle name="Dezimal [0]_ALLE_ITEMS_280800_EV_NL" xfId="1185"/>
    <cellStyle name="Dezimal_AKE_100N" xfId="1186"/>
    <cellStyle name="Dg" xfId="1187"/>
    <cellStyle name="Dgia" xfId="1188"/>
    <cellStyle name="_x0001_dÏÈ¹ " xfId="1189"/>
    <cellStyle name="_x0001_dÏÈ¹_" xfId="1190"/>
    <cellStyle name="Dollar (zero dec)" xfId="1191"/>
    <cellStyle name="Don gia" xfId="1192"/>
    <cellStyle name="DuToanBXD" xfId="1193"/>
    <cellStyle name="Dziesi?tny [0]_Invoices2001Slovakia" xfId="1194"/>
    <cellStyle name="Dziesi?tny_Invoices2001Slovakia" xfId="1195"/>
    <cellStyle name="Dziesietny [0]_Invoices2001Slovakia" xfId="1196"/>
    <cellStyle name="Dziesiętny [0]_Invoices2001Slovakia" xfId="1197"/>
    <cellStyle name="Dziesietny [0]_Invoices2001Slovakia_Book1" xfId="1198"/>
    <cellStyle name="Dziesiętny [0]_Invoices2001Slovakia_Book1" xfId="1199"/>
    <cellStyle name="Dziesietny [0]_Invoices2001Slovakia_Book1_Tong hop Cac tuyen(9-1-06)" xfId="1200"/>
    <cellStyle name="Dziesiętny [0]_Invoices2001Slovakia_Book1_Tong hop Cac tuyen(9-1-06)" xfId="1201"/>
    <cellStyle name="Dziesietny [0]_Invoices2001Slovakia_KL K.C mat duong" xfId="1202"/>
    <cellStyle name="Dziesiętny [0]_Invoices2001Slovakia_Nhalamviec VTC(25-1-05)" xfId="1203"/>
    <cellStyle name="Dziesietny [0]_Invoices2001Slovakia_TDT KHANH HOA" xfId="1204"/>
    <cellStyle name="Dziesiętny [0]_Invoices2001Slovakia_TDT KHANH HOA" xfId="1205"/>
    <cellStyle name="Dziesietny [0]_Invoices2001Slovakia_TDT KHANH HOA_Tong hop Cac tuyen(9-1-06)" xfId="1206"/>
    <cellStyle name="Dziesiętny [0]_Invoices2001Slovakia_TDT KHANH HOA_Tong hop Cac tuyen(9-1-06)" xfId="1207"/>
    <cellStyle name="Dziesietny [0]_Invoices2001Slovakia_TDT quangngai" xfId="1208"/>
    <cellStyle name="Dziesiętny [0]_Invoices2001Slovakia_TDT quangngai" xfId="1209"/>
    <cellStyle name="Dziesietny [0]_Invoices2001Slovakia_Tong hop Cac tuyen(9-1-06)" xfId="1210"/>
    <cellStyle name="Dziesietny_Invoices2001Slovakia" xfId="1211"/>
    <cellStyle name="Dziesiętny_Invoices2001Slovakia" xfId="1212"/>
    <cellStyle name="Dziesietny_Invoices2001Slovakia_Book1" xfId="1213"/>
    <cellStyle name="Dziesiętny_Invoices2001Slovakia_Book1" xfId="1214"/>
    <cellStyle name="Dziesietny_Invoices2001Slovakia_Book1_Tong hop Cac tuyen(9-1-06)" xfId="1215"/>
    <cellStyle name="Dziesiętny_Invoices2001Slovakia_Book1_Tong hop Cac tuyen(9-1-06)" xfId="1216"/>
    <cellStyle name="Dziesietny_Invoices2001Slovakia_KL K.C mat duong" xfId="1217"/>
    <cellStyle name="Dziesiętny_Invoices2001Slovakia_Nhalamviec VTC(25-1-05)" xfId="1218"/>
    <cellStyle name="Dziesietny_Invoices2001Slovakia_TDT KHANH HOA" xfId="1219"/>
    <cellStyle name="Dziesiętny_Invoices2001Slovakia_TDT KHANH HOA" xfId="1220"/>
    <cellStyle name="Dziesietny_Invoices2001Slovakia_TDT KHANH HOA_Tong hop Cac tuyen(9-1-06)" xfId="1221"/>
    <cellStyle name="Dziesiętny_Invoices2001Slovakia_TDT KHANH HOA_Tong hop Cac tuyen(9-1-06)" xfId="1222"/>
    <cellStyle name="Dziesietny_Invoices2001Slovakia_TDT quangngai" xfId="1223"/>
    <cellStyle name="Dziesiętny_Invoices2001Slovakia_TDT quangngai" xfId="1224"/>
    <cellStyle name="Dziesietny_Invoices2001Slovakia_Tong hop Cac tuyen(9-1-06)" xfId="1225"/>
    <cellStyle name="e" xfId="1226"/>
    <cellStyle name="eeee" xfId="1227"/>
    <cellStyle name="Enter Currency (0)" xfId="1228"/>
    <cellStyle name="Enter Currency (2)" xfId="1229"/>
    <cellStyle name="Enter Units (0)" xfId="1230"/>
    <cellStyle name="Enter Units (1)" xfId="1231"/>
    <cellStyle name="Enter Units (2)" xfId="1232"/>
    <cellStyle name="Entered" xfId="1233"/>
    <cellStyle name="Euro" xfId="1234"/>
    <cellStyle name="Explanatory Text 2" xfId="1235"/>
    <cellStyle name="f" xfId="1236"/>
    <cellStyle name="Fixed" xfId="1237"/>
    <cellStyle name="Font Britannic16" xfId="1238"/>
    <cellStyle name="Font Britannic18" xfId="1239"/>
    <cellStyle name="Font CenturyCond 18" xfId="1240"/>
    <cellStyle name="Font Cond20" xfId="1241"/>
    <cellStyle name="Font LucidaSans16" xfId="1242"/>
    <cellStyle name="Font NewCenturyCond18" xfId="1243"/>
    <cellStyle name="Font Ottawa14" xfId="1244"/>
    <cellStyle name="Font Ottawa16" xfId="1245"/>
    <cellStyle name="Ghi chú" xfId="1246"/>
    <cellStyle name="Good 2" xfId="1247"/>
    <cellStyle name="Grey" xfId="1248"/>
    <cellStyle name="Group" xfId="1249"/>
    <cellStyle name="H" xfId="1250"/>
    <cellStyle name="ha" xfId="1251"/>
    <cellStyle name="Head 1" xfId="1252"/>
    <cellStyle name="HEADER" xfId="1253"/>
    <cellStyle name="Header1" xfId="1254"/>
    <cellStyle name="Header2" xfId="1255"/>
    <cellStyle name="Heading 1 2" xfId="1256"/>
    <cellStyle name="Heading 1 3" xfId="1257"/>
    <cellStyle name="Heading 2 2" xfId="1258"/>
    <cellStyle name="Heading 2 3" xfId="1259"/>
    <cellStyle name="Heading 3 2" xfId="1260"/>
    <cellStyle name="Heading 4 2" xfId="1261"/>
    <cellStyle name="Heading1" xfId="1262"/>
    <cellStyle name="Heading2" xfId="1263"/>
    <cellStyle name="HEADINGS" xfId="1264"/>
    <cellStyle name="HEADINGSTOP" xfId="1265"/>
    <cellStyle name="headoption" xfId="1266"/>
    <cellStyle name="Hoa-Scholl" xfId="1267"/>
    <cellStyle name="HUY" xfId="1268"/>
    <cellStyle name="i phÝ kh¸c_B¶ng 2" xfId="1269"/>
    <cellStyle name="I.3" xfId="1270"/>
    <cellStyle name="i·0" xfId="1271"/>
    <cellStyle name="_x0001_í½?" xfId="1272"/>
    <cellStyle name="ï-¾È»ê_BiÓu TB" xfId="1273"/>
    <cellStyle name="_x0001_íå_x001b_ô " xfId="1274"/>
    <cellStyle name="_x0001_íå_x001b_ô_" xfId="1275"/>
    <cellStyle name="Input [yellow]" xfId="1276"/>
    <cellStyle name="Input 2" xfId="1277"/>
    <cellStyle name="Input Cells" xfId="1278"/>
    <cellStyle name="k" xfId="1279"/>
    <cellStyle name="kh¸c_Bang Chi tieu" xfId="1280"/>
    <cellStyle name="khanh" xfId="1281"/>
    <cellStyle name="khung" xfId="1282"/>
    <cellStyle name="Kiểm tra Ô" xfId="1283"/>
    <cellStyle name="Ledger 17 x 11 in" xfId="1284"/>
    <cellStyle name="Lien hypertexte" xfId="1285"/>
    <cellStyle name="Link Currency (0)" xfId="1286"/>
    <cellStyle name="Link Currency (2)" xfId="1287"/>
    <cellStyle name="Link Units (0)" xfId="1288"/>
    <cellStyle name="Link Units (1)" xfId="1289"/>
    <cellStyle name="Link Units (2)" xfId="1290"/>
    <cellStyle name="Linked Cell 2" xfId="1291"/>
    <cellStyle name="Linked Cells" xfId="1292"/>
    <cellStyle name="luc" xfId="1293"/>
    <cellStyle name="luc2" xfId="1294"/>
    <cellStyle name="manhcuong" xfId="1295"/>
    <cellStyle name="MAU" xfId="1296"/>
    <cellStyle name="Migliaia (0)_CALPREZZ" xfId="1297"/>
    <cellStyle name="Migliaia_ PESO ELETTR." xfId="1298"/>
    <cellStyle name="Millares [0]_Well Timing" xfId="1299"/>
    <cellStyle name="Millares_Well Timing" xfId="1300"/>
    <cellStyle name="Milliers [0]_      " xfId="1301"/>
    <cellStyle name="Milliers_      " xfId="1302"/>
    <cellStyle name="Môc" xfId="1303"/>
    <cellStyle name="Model" xfId="1304"/>
    <cellStyle name="moi" xfId="1305"/>
    <cellStyle name="moi 2" xfId="1306"/>
    <cellStyle name="moi_TH Nguon NTM 2014" xfId="1307"/>
    <cellStyle name="Mon?aire [0]_!!!GO" xfId="1308"/>
    <cellStyle name="Mon?aire_!!!GO" xfId="1309"/>
    <cellStyle name="Moneda [0]_Well Timing" xfId="1310"/>
    <cellStyle name="Moneda_Well Timing" xfId="1311"/>
    <cellStyle name="Monétaire [0]_      " xfId="1312"/>
    <cellStyle name="Monétaire_      " xfId="1313"/>
    <cellStyle name="n" xfId="1314"/>
    <cellStyle name="n1" xfId="1315"/>
    <cellStyle name="Neutral 2" xfId="1316"/>
    <cellStyle name="New" xfId="1317"/>
    <cellStyle name="New Times Roman" xfId="1318"/>
    <cellStyle name="New_Phụ luc goi 5" xfId="1319"/>
    <cellStyle name="Nhấn1" xfId="1320"/>
    <cellStyle name="Nhấn2" xfId="1321"/>
    <cellStyle name="Nhấn3" xfId="1322"/>
    <cellStyle name="Nhấn4" xfId="1323"/>
    <cellStyle name="Nhấn5" xfId="1324"/>
    <cellStyle name="Nhấn6" xfId="1325"/>
    <cellStyle name="no dec" xfId="1326"/>
    <cellStyle name="ÑONVÒ" xfId="1327"/>
    <cellStyle name="Normal" xfId="0" builtinId="0"/>
    <cellStyle name="Normal - Style1" xfId="1328"/>
    <cellStyle name="Normal - Style1 2" xfId="1329"/>
    <cellStyle name="Normal - Style1_TH Nguon NTM 2014" xfId="1330"/>
    <cellStyle name="Normal - 유형1" xfId="1331"/>
    <cellStyle name="Normal 10" xfId="1332"/>
    <cellStyle name="Normal 10 2" xfId="1333"/>
    <cellStyle name="Normal 10 3" xfId="1756"/>
    <cellStyle name="Normal 11" xfId="1334"/>
    <cellStyle name="Normal 12" xfId="1335"/>
    <cellStyle name="Normal 13" xfId="1336"/>
    <cellStyle name="Normal 14" xfId="1337"/>
    <cellStyle name="Normal 15" xfId="1338"/>
    <cellStyle name="Normal 16" xfId="1339"/>
    <cellStyle name="Normal 17" xfId="1340"/>
    <cellStyle name="Normal 18" xfId="1341"/>
    <cellStyle name="Normal 18 2" xfId="1342"/>
    <cellStyle name="Normal 19" xfId="1343"/>
    <cellStyle name="Normal 2" xfId="1344"/>
    <cellStyle name="Normal 2 2" xfId="1345"/>
    <cellStyle name="Normal 2 2 3" xfId="1758"/>
    <cellStyle name="Normal 2 3" xfId="1346"/>
    <cellStyle name="Normal 2 3 2" xfId="1347"/>
    <cellStyle name="Normal 2 4" xfId="1348"/>
    <cellStyle name="Normal 2 5" xfId="1349"/>
    <cellStyle name="Normal 2 6" xfId="1757"/>
    <cellStyle name="Normal 2_Bao cao STC" xfId="1350"/>
    <cellStyle name="Normal 20" xfId="1351"/>
    <cellStyle name="Normal 20 2" xfId="1352"/>
    <cellStyle name="Normal 20 3" xfId="1353"/>
    <cellStyle name="Normal 20_16.4.13. QD Phan bo Von NTM 2016 (PL)" xfId="1354"/>
    <cellStyle name="Normal 21" xfId="1355"/>
    <cellStyle name="Normal 21 2" xfId="1760"/>
    <cellStyle name="Normal 22" xfId="1356"/>
    <cellStyle name="Normal 23" xfId="1357"/>
    <cellStyle name="Normal 23 2" xfId="1358"/>
    <cellStyle name="Normal 23 3" xfId="1359"/>
    <cellStyle name="Normal 23 4" xfId="1360"/>
    <cellStyle name="Normal 24" xfId="1361"/>
    <cellStyle name="Normal 25" xfId="1362"/>
    <cellStyle name="Normal 26" xfId="1752"/>
    <cellStyle name="Normal 27" xfId="1363"/>
    <cellStyle name="Normal 28" xfId="1364"/>
    <cellStyle name="Normal 29" xfId="1365"/>
    <cellStyle name="Normal 3" xfId="1366"/>
    <cellStyle name="Normal 3 2" xfId="1367"/>
    <cellStyle name="Normal 3 2 2" xfId="1761"/>
    <cellStyle name="Normal 3 3" xfId="1368"/>
    <cellStyle name="Normal 3 4" xfId="1369"/>
    <cellStyle name="Normal 3 4 2" xfId="1370"/>
    <cellStyle name="Normal 3 4 3" xfId="1371"/>
    <cellStyle name="Normal 3 4_16.4.13. QD Phan bo Von NTM 2016 (PL)" xfId="1372"/>
    <cellStyle name="Normal 3_TH Nguon NTM 2014" xfId="1373"/>
    <cellStyle name="Normal 30" xfId="1759"/>
    <cellStyle name="Normal 39" xfId="1762"/>
    <cellStyle name="Normal 4" xfId="1374"/>
    <cellStyle name="Normal 4 2" xfId="1375"/>
    <cellStyle name="Normal 4 3" xfId="1376"/>
    <cellStyle name="Normal 4_16.4.13. QD Phan bo Von NTM 2016 (PL)" xfId="1377"/>
    <cellStyle name="Normal 40" xfId="1763"/>
    <cellStyle name="Normal 5" xfId="1378"/>
    <cellStyle name="Normal 5 2" xfId="1379"/>
    <cellStyle name="Normal 5_Bao cao STC" xfId="1380"/>
    <cellStyle name="Normal 6" xfId="1381"/>
    <cellStyle name="Normal 7" xfId="1382"/>
    <cellStyle name="Normal 8" xfId="1383"/>
    <cellStyle name="Normal 9" xfId="1384"/>
    <cellStyle name="Normal 9 2" xfId="1385"/>
    <cellStyle name="Normal 9 2 2" xfId="1386"/>
    <cellStyle name="Normal 9 3" xfId="1387"/>
    <cellStyle name="Normal 9_BAO CAÁO TONG HOP NTM" xfId="1388"/>
    <cellStyle name="Normal_Bieu bao cao nhu cau von ho tro lai suat" xfId="1751"/>
    <cellStyle name="Normal_Ky Anh" xfId="1"/>
    <cellStyle name="Normal1" xfId="1389"/>
    <cellStyle name="Normale_ PESO ELETTR." xfId="1390"/>
    <cellStyle name="Normalny_Cennik obowiazuje od 06-08-2001 r (1)" xfId="1391"/>
    <cellStyle name="Note 2" xfId="1392"/>
    <cellStyle name="NWM" xfId="1393"/>
    <cellStyle name="Ô Được nối kết" xfId="1394"/>
    <cellStyle name="Œ…‹æØ‚è [0.00]_laroux" xfId="1395"/>
    <cellStyle name="Œ…‹æØ‚è_laroux" xfId="1396"/>
    <cellStyle name="oft Excel]_x000d__x000a_Comment=open=/f ‚ðw’è‚·‚é‚ÆAƒ†[ƒU[’è‹`ŠÖ”‚ðŠÖ”“\‚è•t‚¯‚Ìˆê——‚É“o˜^‚·‚é‚±‚Æ‚ª‚Å‚«‚Ü‚·B_x000d__x000a_Maximized" xfId="1397"/>
    <cellStyle name="oft Excel]_x000d__x000a_Comment=open=/f ‚ðŽw’è‚·‚é‚ÆAƒ†[ƒU[’è‹`ŠÖ”‚ðŠÖ”“\‚è•t‚¯‚Ìˆê——‚É“o˜^‚·‚é‚±‚Æ‚ª‚Å‚«‚Ü‚·B_x000d__x000a_Maximized" xfId="1398"/>
    <cellStyle name="oft Excel]_x000d__x000a_Comment=The open=/f lines load custom functions into the Paste Function list._x000d__x000a_Maximized=2_x000d__x000a_Basics=1_x000d__x000a_A" xfId="1399"/>
    <cellStyle name="oft Excel]_x000d__x000a_Comment=The open=/f lines load custom functions into the Paste Function list._x000d__x000a_Maximized=3_x000d__x000a_Basics=1_x000d__x000a_A" xfId="1400"/>
    <cellStyle name="omma [0]_Mktg Prog" xfId="1401"/>
    <cellStyle name="ormal_Sheet1_1" xfId="1402"/>
    <cellStyle name="Output 2" xfId="1403"/>
    <cellStyle name="Pattern" xfId="1404"/>
    <cellStyle name="per.style" xfId="1405"/>
    <cellStyle name="Percent [0]" xfId="1406"/>
    <cellStyle name="Percent [00]" xfId="1407"/>
    <cellStyle name="Percent [2]" xfId="1408"/>
    <cellStyle name="Percent [2] 2" xfId="1409"/>
    <cellStyle name="Percent 2" xfId="1410"/>
    <cellStyle name="Percent 2 2" xfId="1411"/>
    <cellStyle name="Percent 3" xfId="1412"/>
    <cellStyle name="Percent 4" xfId="1413"/>
    <cellStyle name="Percent 4 2" xfId="1414"/>
    <cellStyle name="Percent 5" xfId="1415"/>
    <cellStyle name="PERCENTAGE" xfId="1416"/>
    <cellStyle name="Phong" xfId="1417"/>
    <cellStyle name="PrePop Currency (0)" xfId="1418"/>
    <cellStyle name="PrePop Currency (2)" xfId="1419"/>
    <cellStyle name="PrePop Units (0)" xfId="1420"/>
    <cellStyle name="PrePop Units (1)" xfId="1421"/>
    <cellStyle name="PrePop Units (2)" xfId="1422"/>
    <cellStyle name="pricing" xfId="1423"/>
    <cellStyle name="PSChar" xfId="1424"/>
    <cellStyle name="PSHeading" xfId="1425"/>
    <cellStyle name="Quantity" xfId="1426"/>
    <cellStyle name="regstoresfromspecstores" xfId="1427"/>
    <cellStyle name="RevList" xfId="1428"/>
    <cellStyle name="s" xfId="1429"/>
    <cellStyle name="S—_x0008_" xfId="1430"/>
    <cellStyle name="s]_x000d__x000a_spooler=yes_x000d__x000a_load=_x000d__x000a_Beep=yes_x000d__x000a_NullPort=None_x000d__x000a_BorderWidth=3_x000d__x000a_CursorBlinkRate=1200_x000d__x000a_DoubleClickSpeed=452_x000d__x000a_Programs=co" xfId="1431"/>
    <cellStyle name="S—_x0008__Phụ luc goi 5" xfId="1432"/>
    <cellStyle name="s1" xfId="1433"/>
    <cellStyle name="SAPBEXaggData" xfId="1434"/>
    <cellStyle name="SAPBEXaggDataEmph" xfId="1435"/>
    <cellStyle name="SAPBEXaggItem" xfId="1436"/>
    <cellStyle name="SAPBEXchaText" xfId="1437"/>
    <cellStyle name="SAPBEXexcBad7" xfId="1438"/>
    <cellStyle name="SAPBEXexcBad8" xfId="1439"/>
    <cellStyle name="SAPBEXexcBad9" xfId="1440"/>
    <cellStyle name="SAPBEXexcCritical4" xfId="1441"/>
    <cellStyle name="SAPBEXexcCritical5" xfId="1442"/>
    <cellStyle name="SAPBEXexcCritical6" xfId="1443"/>
    <cellStyle name="SAPBEXexcGood1" xfId="1444"/>
    <cellStyle name="SAPBEXexcGood2" xfId="1445"/>
    <cellStyle name="SAPBEXexcGood3" xfId="1446"/>
    <cellStyle name="SAPBEXfilterDrill" xfId="1447"/>
    <cellStyle name="SAPBEXfilterItem" xfId="1448"/>
    <cellStyle name="SAPBEXfilterText" xfId="1449"/>
    <cellStyle name="SAPBEXformats" xfId="1450"/>
    <cellStyle name="SAPBEXheaderItem" xfId="1451"/>
    <cellStyle name="SAPBEXheaderText" xfId="1452"/>
    <cellStyle name="SAPBEXresData" xfId="1453"/>
    <cellStyle name="SAPBEXresDataEmph" xfId="1454"/>
    <cellStyle name="SAPBEXresItem" xfId="1455"/>
    <cellStyle name="SAPBEXstdData" xfId="1456"/>
    <cellStyle name="SAPBEXstdDataEmph" xfId="1457"/>
    <cellStyle name="SAPBEXstdItem" xfId="1458"/>
    <cellStyle name="SAPBEXtitle" xfId="1459"/>
    <cellStyle name="SAPBEXundefined" xfId="1460"/>
    <cellStyle name="_x0001_sç?" xfId="1461"/>
    <cellStyle name="serJet 1200 Series PCL 6" xfId="1462"/>
    <cellStyle name="SHADEDSTORES" xfId="1463"/>
    <cellStyle name="Siêu nối kết_BANG SO LIEU TONG HOP CAC HO DAN" xfId="1464"/>
    <cellStyle name="songuyen" xfId="1465"/>
    <cellStyle name="specstores" xfId="1466"/>
    <cellStyle name="Standard_AAbgleich" xfId="1467"/>
    <cellStyle name="STTDG" xfId="1468"/>
    <cellStyle name="style" xfId="1469"/>
    <cellStyle name="Style 1" xfId="1470"/>
    <cellStyle name="Style 10" xfId="1471"/>
    <cellStyle name="Style 11" xfId="1472"/>
    <cellStyle name="Style 12" xfId="1473"/>
    <cellStyle name="Style 13" xfId="1474"/>
    <cellStyle name="Style 14" xfId="1475"/>
    <cellStyle name="Style 15" xfId="1476"/>
    <cellStyle name="Style 16" xfId="1477"/>
    <cellStyle name="Style 17" xfId="1478"/>
    <cellStyle name="Style 18" xfId="1479"/>
    <cellStyle name="Style 19" xfId="1480"/>
    <cellStyle name="Style 2" xfId="1481"/>
    <cellStyle name="Style 20" xfId="1482"/>
    <cellStyle name="Style 21" xfId="1483"/>
    <cellStyle name="Style 22" xfId="1484"/>
    <cellStyle name="Style 23" xfId="1485"/>
    <cellStyle name="Style 24" xfId="1486"/>
    <cellStyle name="Style 25" xfId="1487"/>
    <cellStyle name="Style 26" xfId="1488"/>
    <cellStyle name="Style 27" xfId="1489"/>
    <cellStyle name="Style 28" xfId="1490"/>
    <cellStyle name="Style 29" xfId="1491"/>
    <cellStyle name="Style 3" xfId="1492"/>
    <cellStyle name="Style 30" xfId="1493"/>
    <cellStyle name="Style 31" xfId="1494"/>
    <cellStyle name="Style 32" xfId="1495"/>
    <cellStyle name="Style 33" xfId="1496"/>
    <cellStyle name="Style 34" xfId="1497"/>
    <cellStyle name="Style 35" xfId="1498"/>
    <cellStyle name="Style 4" xfId="1499"/>
    <cellStyle name="Style 5" xfId="1500"/>
    <cellStyle name="Style 6" xfId="1501"/>
    <cellStyle name="Style 7" xfId="1502"/>
    <cellStyle name="Style 8" xfId="1503"/>
    <cellStyle name="Style 9" xfId="1504"/>
    <cellStyle name="Style Date" xfId="1505"/>
    <cellStyle name="style_1" xfId="1506"/>
    <cellStyle name="subhead" xfId="1507"/>
    <cellStyle name="Subtotal" xfId="1508"/>
    <cellStyle name="symbol" xfId="1509"/>
    <cellStyle name="T" xfId="1510"/>
    <cellStyle name="T_0D5B6000" xfId="1511"/>
    <cellStyle name="T_AP GIA XA BAO NHAI" xfId="1512"/>
    <cellStyle name="T_Bang ke tra tien Tieu DA GPMB QL70" xfId="1513"/>
    <cellStyle name="T_Bao cao thang G1" xfId="1514"/>
    <cellStyle name="T_Bo sung TT 09 Duong Bac Ngam - Bac Ha sua" xfId="1515"/>
    <cellStyle name="T_Book1" xfId="1516"/>
    <cellStyle name="T_Book1 (version 1)" xfId="1517"/>
    <cellStyle name="T_Book1_1" xfId="1518"/>
    <cellStyle name="T_Book1_1_Book1" xfId="1519"/>
    <cellStyle name="T_Book1_1_Book1_Phụ luc goi 5" xfId="1520"/>
    <cellStyle name="T_Book1_1_Duong Xuan Quang - Thai Nien(408)" xfId="1521"/>
    <cellStyle name="T_Book1_1_Khoi luong" xfId="1522"/>
    <cellStyle name="T_Book1_1_Khoi luong QL8B" xfId="1523"/>
    <cellStyle name="T_Book1_1_Phụ luc goi 5" xfId="1524"/>
    <cellStyle name="T_Book1_1_QL70 lan 3.da t dinh" xfId="1525"/>
    <cellStyle name="T_Book1_1_TDT dieu chinh4.08 (GP-ST)" xfId="1526"/>
    <cellStyle name="T_Book1_1_TDT dieu chinh4.08Xq-Tn" xfId="1527"/>
    <cellStyle name="T_Book1_1_Tong hop" xfId="1528"/>
    <cellStyle name="T_Book1_1_Tuyen (20-6-11 PA 2)" xfId="1529"/>
    <cellStyle name="T_Book1_1_Tuyen (21-7-11)-doan 1" xfId="1530"/>
    <cellStyle name="T_Book1_2" xfId="1531"/>
    <cellStyle name="T_Book1_2_Duong Xuan Quang - Thai Nien(408)" xfId="1532"/>
    <cellStyle name="T_Book1_2_Khoi luong" xfId="1533"/>
    <cellStyle name="T_Book1_2_Phụ luc goi 5" xfId="1534"/>
    <cellStyle name="T_Book1_2_TDT dieu chinh4.08 (GP-ST)" xfId="1535"/>
    <cellStyle name="T_Book1_2_TDT dieu chinh4.08Xq-Tn" xfId="1536"/>
    <cellStyle name="T_Book1_2_Tong hop" xfId="1537"/>
    <cellStyle name="T_Book1_3" xfId="1538"/>
    <cellStyle name="T_Book1_3_Phụ luc goi 5" xfId="1539"/>
    <cellStyle name="T_Book1_Bao cao sơ TC" xfId="1540"/>
    <cellStyle name="T_Book1_Bo sung TT 09 Duong Bac Ngam - Bac Ha sua" xfId="1541"/>
    <cellStyle name="T_Book1_Book1" xfId="1542"/>
    <cellStyle name="T_Book1_Book1_1" xfId="1543"/>
    <cellStyle name="T_Book1_Book1_1_Phụ luc goi 5" xfId="1544"/>
    <cellStyle name="T_Book1_Book1_Book1" xfId="1545"/>
    <cellStyle name="T_Book1_Book1_DCG TT09 G2 3.12.2007" xfId="1546"/>
    <cellStyle name="T_Book1_Book1_Goi 2 in20.4" xfId="1547"/>
    <cellStyle name="T_Book1_Book1_Khoi luong" xfId="1548"/>
    <cellStyle name="T_Book1_Book1_Phụ luc goi 5" xfId="1549"/>
    <cellStyle name="T_Book1_Book1_Sheet1" xfId="1550"/>
    <cellStyle name="T_Book1_Book1_Tong hop" xfId="1551"/>
    <cellStyle name="T_Book1_Book1_Tuyen (20-6-11 PA 2)" xfId="1552"/>
    <cellStyle name="T_Book1_Book1_Tuyen (21-7-11)-doan 1" xfId="1553"/>
    <cellStyle name="T_Book1_Book2" xfId="1554"/>
    <cellStyle name="T_Book1_Cau ha loi HD Truongthinh" xfId="1555"/>
    <cellStyle name="T_Book1_DCG TT09 G2 3.12.2007" xfId="1556"/>
    <cellStyle name="T_Book1_DTduong-goi1" xfId="1557"/>
    <cellStyle name="T_Book1_DTGiangChaChai22.7sua" xfId="1558"/>
    <cellStyle name="T_Book1_Duong Po Ngang - Coc LaySua1.07" xfId="1559"/>
    <cellStyle name="T_Book1_Duong Xuan Quang - Thai Nien(408)" xfId="1560"/>
    <cellStyle name="T_Book1_dutoanLCSP04-km0-5-goi1 (Ban 5 sua 24-8)" xfId="1561"/>
    <cellStyle name="T_Book1_Gia goi 1" xfId="1562"/>
    <cellStyle name="T_Book1_Goi 2 in20.4" xfId="1563"/>
    <cellStyle name="T_Book1_Khoi luong" xfId="1564"/>
    <cellStyle name="T_Book1_Khoi luong QL8B" xfId="1565"/>
    <cellStyle name="T_Book1_Phụ luc goi 5" xfId="1566"/>
    <cellStyle name="T_Book1_QL4 (211-217) TB gia 31-8-2006 sua NC-coma" xfId="1567"/>
    <cellStyle name="T_Book1_QL70_TC_Km188-197-in" xfId="1568"/>
    <cellStyle name="T_Book1_Sheet1" xfId="1569"/>
    <cellStyle name="T_Book1_Sua chua cum tuyen" xfId="1570"/>
    <cellStyle name="T_Book1_TD Khoi luong (TT05)G4" xfId="1571"/>
    <cellStyle name="T_Book1_TDT dieu chinh4.08 (GP-ST)" xfId="1572"/>
    <cellStyle name="T_Book1_TDT dieu chinh4.08Xq-Tn" xfId="1573"/>
    <cellStyle name="T_Book1_Tong hop" xfId="1574"/>
    <cellStyle name="T_Book2" xfId="1575"/>
    <cellStyle name="T_Cao do mong cong, phai tuyen" xfId="1576"/>
    <cellStyle name="T_Cau ha loi HD Truongthinh" xfId="1577"/>
    <cellStyle name="T_Cau Phu Phuong" xfId="1578"/>
    <cellStyle name="T_CDKT" xfId="1579"/>
    <cellStyle name="T_CDKT_Phụ luc goi 5" xfId="1580"/>
    <cellStyle name="T_CHU THANH" xfId="1581"/>
    <cellStyle name="T_cuong sua 9.10" xfId="1582"/>
    <cellStyle name="T_DCG TT09 G2 3.12.2007" xfId="1583"/>
    <cellStyle name="T_DCKS-Tram Ha Tay-trinh" xfId="1584"/>
    <cellStyle name="T_denbu" xfId="1585"/>
    <cellStyle name="T_Don gia Goi thau so 1 (872)" xfId="1586"/>
    <cellStyle name="T_dt1" xfId="1587"/>
    <cellStyle name="T_DTduong-goi1" xfId="1588"/>
    <cellStyle name="T_DTGiangChaChai22.7sua" xfId="1589"/>
    <cellStyle name="T_dtoangiaBXsuaCPK-pai" xfId="1590"/>
    <cellStyle name="T_dtoanSPthemKLcong" xfId="1591"/>
    <cellStyle name="T_dtTL598G1." xfId="1592"/>
    <cellStyle name="T_dtTL598G1._Phụ luc goi 5" xfId="1593"/>
    <cellStyle name="T_DTWB31" xfId="1594"/>
    <cellStyle name="T_DTWB3Sua12.6" xfId="1595"/>
    <cellStyle name="T_Du toan du thau Cautreo" xfId="1596"/>
    <cellStyle name="T_Duong Po Ngang - Coc LaySua1.07" xfId="1597"/>
    <cellStyle name="T_Duong TT xa Nam Khanh" xfId="1598"/>
    <cellStyle name="T_Duong Xuan Quang - Thai Nien(408)" xfId="1599"/>
    <cellStyle name="T_dutoanLCSP04-km0-5-goi1 (Ban 5 sua 24-8)" xfId="1600"/>
    <cellStyle name="T_G_I TCDBVN. BCQTC_U QUANG DAI.QL62.(11)" xfId="1601"/>
    <cellStyle name="T_Gia thanh-chuan" xfId="1602"/>
    <cellStyle name="T_Gia thau Hoang Xuan" xfId="1603"/>
    <cellStyle name="T_Goi 2 in20.4" xfId="1604"/>
    <cellStyle name="T_Goi 5" xfId="1605"/>
    <cellStyle name="T_GoiXL1hem" xfId="1606"/>
    <cellStyle name="T_Khao satD1" xfId="1607"/>
    <cellStyle name="T_Khao satD1_Phụ luc goi 5" xfId="1608"/>
    <cellStyle name="T_Khoi Bung" xfId="1609"/>
    <cellStyle name="T_Khoi luong" xfId="1610"/>
    <cellStyle name="T_Khoi luong QL8B" xfId="1611"/>
    <cellStyle name="T_KHỐI LƯỢNG QUYẾT TOÁN GÓI 5 (TVGS CHẤP THUẬN) TVS" xfId="1612"/>
    <cellStyle name="T_Khoi Xa Ngoai-con 1 ho" xfId="1613"/>
    <cellStyle name="T_Khoiluongduonggiao" xfId="1614"/>
    <cellStyle name="T_KL san nen Phieng Ot" xfId="1615"/>
    <cellStyle name="T_klcongk0_28" xfId="1616"/>
    <cellStyle name="T_Km329-Km350 (7-6)" xfId="1617"/>
    <cellStyle name="T_Phụ luc goi 5" xfId="1618"/>
    <cellStyle name="T_QL70 lan 3.da t dinh" xfId="1619"/>
    <cellStyle name="T_QL70_TC_Km188-197-in" xfId="1620"/>
    <cellStyle name="T_QT di chuyen ca phe" xfId="1621"/>
    <cellStyle name="T_San Nen TDC P.Ot.suaxls" xfId="1622"/>
    <cellStyle name="T_Sheet1" xfId="1623"/>
    <cellStyle name="T_TDT 3 xa VA chinh thuc" xfId="1624"/>
    <cellStyle name="T_TDT dieu chinh4.08 (GP-ST)" xfId="1625"/>
    <cellStyle name="T_Theo doi NT" xfId="1626"/>
    <cellStyle name="T_Thong ke TDTKKT - Nam 2005" xfId="1627"/>
    <cellStyle name="T_tien2004" xfId="1628"/>
    <cellStyle name="T_tien2004_Phụ luc goi 5" xfId="1629"/>
    <cellStyle name="T_Tinh KLHC goi 1" xfId="1630"/>
    <cellStyle name="T_TKE-ChoDon-sua" xfId="1631"/>
    <cellStyle name="T_Tong hop" xfId="1632"/>
    <cellStyle name="T_Tuyen (20-6-11 PA 2)" xfId="1633"/>
    <cellStyle name="T_Tuyen (21-7-11)-doan 1" xfId="1634"/>
    <cellStyle name="T_ÿÿÿÿÿ" xfId="1635"/>
    <cellStyle name="tde" xfId="1636"/>
    <cellStyle name="Text Indent A" xfId="1637"/>
    <cellStyle name="Text Indent B" xfId="1638"/>
    <cellStyle name="Text Indent C" xfId="1639"/>
    <cellStyle name="th" xfId="1640"/>
    <cellStyle name="th 2" xfId="1641"/>
    <cellStyle name="than" xfId="1642"/>
    <cellStyle name="Thanh" xfId="1643"/>
    <cellStyle name="þ_x001d_ð" xfId="1644"/>
    <cellStyle name="þ_x001d_ð¤_x000c_¯þ_x0014__x000d_¨þU_x0001_À_x0004_ _x0015__x000f__x0001__x0001_" xfId="1645"/>
    <cellStyle name="þ_x001d_ð·" xfId="1646"/>
    <cellStyle name="þ_x001d_ð·_x000c_" xfId="1647"/>
    <cellStyle name="þ_x001d_ð·_x000c_æ" xfId="1648"/>
    <cellStyle name="þ_x001d_ð·_x000c_æþ'_x000d_ßþU" xfId="1649"/>
    <cellStyle name="þ_x001d_ð·_x000c_æþ'_x000d_ßþU_x0001_" xfId="1650"/>
    <cellStyle name="þ_x001d_ð·_x000c_æþ'_x000d_ßþU_x0001_Ø" xfId="1651"/>
    <cellStyle name="þ_x001d_ð·_x000c_æþ'_x000d_ßþU_x0001_Ø_x0005_" xfId="1652"/>
    <cellStyle name="þ_x001d_ð·_x000c_æþ'_x000d_ßþU_x0001_Ø_x0005_ü_x0014__x0007__x0001__x0001_" xfId="1653"/>
    <cellStyle name="þ_x001d_ðÇ%Uý—&amp;Hý9_x0008_Ÿ_x0009_s_x000a__x0007__x0001__x0001_" xfId="1654"/>
    <cellStyle name="þ_x001d_ðK_x000c_Fý" xfId="1655"/>
    <cellStyle name="þ_x001d_ðK_x000c_Fý_x001b__x000d_9ýU_x0001_Ð_x0008_¦)_x0007__x0001__x0001_" xfId="1656"/>
    <cellStyle name="thuong-10" xfId="1657"/>
    <cellStyle name="thuong-11" xfId="1658"/>
    <cellStyle name="Thuyet minh" xfId="1659"/>
    <cellStyle name="Tiªu ®Ì" xfId="1660"/>
    <cellStyle name="Tien VN" xfId="1661"/>
    <cellStyle name="Tien1" xfId="1662"/>
    <cellStyle name="Tiêu đề" xfId="1663"/>
    <cellStyle name="Tieu_de_2" xfId="1664"/>
    <cellStyle name="Times New Roman" xfId="1665"/>
    <cellStyle name="Tính toán" xfId="1666"/>
    <cellStyle name="TiÓu môc" xfId="1667"/>
    <cellStyle name="tit1" xfId="1668"/>
    <cellStyle name="tit2" xfId="1669"/>
    <cellStyle name="tit3" xfId="1670"/>
    <cellStyle name="tit4" xfId="1671"/>
    <cellStyle name="Title 2" xfId="1672"/>
    <cellStyle name="Tổng" xfId="1673"/>
    <cellStyle name="Tongcong" xfId="1674"/>
    <cellStyle name="Tốt" xfId="1675"/>
    <cellStyle name="Total 2" xfId="1676"/>
    <cellStyle name="Total 3" xfId="1677"/>
    <cellStyle name="Trung tính" xfId="1678"/>
    <cellStyle name="Tusental (0)_pldt" xfId="1679"/>
    <cellStyle name="Tusental_pldt" xfId="1680"/>
    <cellStyle name="ux_3_¼­¿ï-¾È»ê" xfId="1681"/>
    <cellStyle name="Valuta (0)_CALPREZZ" xfId="1682"/>
    <cellStyle name="Valuta_ PESO ELETTR." xfId="1683"/>
    <cellStyle name="Văn bản Cảnh báo" xfId="1684"/>
    <cellStyle name="Văn bản Giải thích" xfId="1685"/>
    <cellStyle name="VANG1" xfId="1686"/>
    <cellStyle name="viet" xfId="1687"/>
    <cellStyle name="viet2" xfId="1688"/>
    <cellStyle name="Vietnam 1" xfId="1689"/>
    <cellStyle name="VN new romanNormal" xfId="1690"/>
    <cellStyle name="Vn Time 13" xfId="1691"/>
    <cellStyle name="Vn Time 14" xfId="1692"/>
    <cellStyle name="VN time new roman" xfId="1693"/>
    <cellStyle name="vn_time" xfId="1694"/>
    <cellStyle name="vnbo" xfId="1695"/>
    <cellStyle name="vnhead1" xfId="1696"/>
    <cellStyle name="vnhead2" xfId="1697"/>
    <cellStyle name="vnhead3" xfId="1698"/>
    <cellStyle name="vnhead4" xfId="1699"/>
    <cellStyle name="vntxt1" xfId="1700"/>
    <cellStyle name="vntxt2" xfId="1701"/>
    <cellStyle name="Währung [0]_ALLE_ITEMS_280800_EV_NL" xfId="1702"/>
    <cellStyle name="Währung_AKE_100N" xfId="1703"/>
    <cellStyle name="Walutowy [0]_Invoices2001Slovakia" xfId="1704"/>
    <cellStyle name="Walutowy_Invoices2001Slovakia" xfId="1705"/>
    <cellStyle name="Warning Text 2" xfId="1706"/>
    <cellStyle name="Worksheet" xfId="1707"/>
    <cellStyle name="xã Hộ Độ" xfId="1708"/>
    <cellStyle name="xan1" xfId="1709"/>
    <cellStyle name="Xấu" xfId="1710"/>
    <cellStyle name="xuan" xfId="1711"/>
    <cellStyle name="Ý kh¸c_B¶ng 1 (2)" xfId="1712"/>
    <cellStyle name=" [0.00]_ Att. 1- Cover" xfId="1713"/>
    <cellStyle name="_ Att. 1- Cover" xfId="1714"/>
    <cellStyle name="?_ Att. 1- Cover" xfId="1715"/>
    <cellStyle name="똿뗦먛귟 [0.00]_PRODUCT DETAIL Q1" xfId="1716"/>
    <cellStyle name="똿뗦먛귟_PRODUCT DETAIL Q1" xfId="1717"/>
    <cellStyle name="믅됞 [0.00]_PRODUCT DETAIL Q1" xfId="1718"/>
    <cellStyle name="믅됞_PRODUCT DETAIL Q1" xfId="1719"/>
    <cellStyle name="백분율_95" xfId="1720"/>
    <cellStyle name="뷭?_BOOKSHIP" xfId="1721"/>
    <cellStyle name="안건회계법인" xfId="1722"/>
    <cellStyle name="콤맀_Sheet1_총괄표 (수출입) (2)" xfId="1723"/>
    <cellStyle name="콤마 [ - 유형1" xfId="1724"/>
    <cellStyle name="콤마 [ - 유형2" xfId="1725"/>
    <cellStyle name="콤마 [ - 유형3" xfId="1726"/>
    <cellStyle name="콤마 [ - 유형4" xfId="1727"/>
    <cellStyle name="콤마 [ - 유형5" xfId="1728"/>
    <cellStyle name="콤마 [ - 유형6" xfId="1729"/>
    <cellStyle name="콤마 [ - 유형7" xfId="1730"/>
    <cellStyle name="콤마 [ - 유형8" xfId="1731"/>
    <cellStyle name="콤마 [0]_ 비목별 월별기술 " xfId="1732"/>
    <cellStyle name="콤마_ 비목별 월별기술 " xfId="1733"/>
    <cellStyle name="통화 [0]_1" xfId="1734"/>
    <cellStyle name="통화_1" xfId="1735"/>
    <cellStyle name="표섀_변경(최종)" xfId="1736"/>
    <cellStyle name="표준_ 97년 경영분석(안)" xfId="1737"/>
    <cellStyle name="一般_00Q3902REV.1" xfId="1738"/>
    <cellStyle name="千分位[0]_00Q3902REV.1" xfId="1739"/>
    <cellStyle name="千分位_00Q3902REV.1" xfId="1740"/>
    <cellStyle name="桁区切り [0.00]_3_RawWaterTrans" xfId="1741"/>
    <cellStyle name="桁区切り_BE-BQ" xfId="1742"/>
    <cellStyle name="標準_(A1)BOQ " xfId="1743"/>
    <cellStyle name="貨幣 [0]_00Q3902REV.1" xfId="1744"/>
    <cellStyle name="貨幣[0]_BRE" xfId="1745"/>
    <cellStyle name="貨幣_00Q3902REV.1" xfId="1746"/>
    <cellStyle name="超連結_Book1" xfId="1747"/>
    <cellStyle name="通貨 [0.00]_BE-BQ" xfId="1748"/>
    <cellStyle name="通貨_BE-BQ" xfId="1749"/>
    <cellStyle name="隨後的超連結_Book1" xfId="17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g%20Quan-HX\QUAN%20NSHX\TAI%20LIEU%20NONG%20THON%20MOI\TL%20QUAN\NAM%202018\Cong%20van%20di\So%20sanh%20NQ%2033%20v&#224;%20NQ%20moi\Phu%20bieu%20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n Loc"/>
      <sheetName val="02 Loc Ha"/>
      <sheetName val="03 Vu Quang"/>
      <sheetName val="Du kien thu đat do thi NX"/>
      <sheetName val="So sanh NQ"/>
      <sheetName val="Phu bieu BC"/>
    </sheetNames>
    <definedNames>
      <definedName name="DSTD_Clear"/>
      <definedName name="fsf"/>
      <definedName name="PtichDTL"/>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1"/>
  <sheetViews>
    <sheetView zoomScaleNormal="100" workbookViewId="0">
      <pane xSplit="2" ySplit="8" topLeftCell="F9" activePane="bottomRight" state="frozen"/>
      <selection pane="topRight" activeCell="C1" sqref="C1"/>
      <selection pane="bottomLeft" activeCell="A12" sqref="A12"/>
      <selection pane="bottomRight" activeCell="R35" sqref="R35"/>
    </sheetView>
  </sheetViews>
  <sheetFormatPr defaultColWidth="9" defaultRowHeight="10.199999999999999"/>
  <cols>
    <col min="1" max="1" width="3.09765625" style="3" customWidth="1"/>
    <col min="2" max="2" width="15.19921875" style="2" customWidth="1"/>
    <col min="3" max="6" width="5.59765625" style="2" customWidth="1"/>
    <col min="7" max="7" width="5.69921875" style="2" customWidth="1"/>
    <col min="8" max="11" width="5.59765625" style="2" customWidth="1"/>
    <col min="12" max="12" width="5.8984375" style="2" customWidth="1"/>
    <col min="13" max="13" width="5.59765625" style="2" customWidth="1"/>
    <col min="14" max="14" width="5.796875" style="2" bestFit="1" customWidth="1"/>
    <col min="15" max="16" width="5.59765625" style="2" customWidth="1"/>
    <col min="17" max="17" width="5.8984375" style="2" customWidth="1"/>
    <col min="18" max="19" width="5.59765625" style="2" customWidth="1"/>
    <col min="20" max="22" width="5.8984375" style="2" customWidth="1"/>
    <col min="23" max="23" width="5.19921875" style="2" customWidth="1"/>
    <col min="24" max="25" width="5.59765625" style="2" customWidth="1"/>
    <col min="26" max="26" width="5.8984375" style="2" customWidth="1"/>
    <col min="27" max="27" width="5.59765625" style="1" customWidth="1"/>
    <col min="28" max="28" width="5.8984375" style="1" customWidth="1"/>
    <col min="29" max="29" width="6.5" style="1" bestFit="1" customWidth="1"/>
    <col min="30" max="32" width="6.59765625" style="1" bestFit="1" customWidth="1"/>
    <col min="33" max="16384" width="9" style="1"/>
  </cols>
  <sheetData>
    <row r="1" spans="1:32" s="17" customFormat="1" ht="15.6">
      <c r="A1" s="9" t="s">
        <v>570</v>
      </c>
      <c r="B1" s="16"/>
      <c r="C1" s="16"/>
      <c r="D1" s="16"/>
      <c r="E1" s="16"/>
      <c r="F1" s="16"/>
      <c r="G1" s="16"/>
      <c r="H1" s="16"/>
      <c r="I1" s="16"/>
      <c r="J1" s="16"/>
      <c r="K1" s="16"/>
      <c r="L1" s="16"/>
      <c r="M1" s="16"/>
      <c r="N1" s="16"/>
      <c r="O1" s="16"/>
      <c r="P1" s="16"/>
      <c r="Q1" s="16"/>
      <c r="R1" s="16"/>
      <c r="S1" s="16"/>
      <c r="T1" s="16"/>
      <c r="U1" s="16"/>
      <c r="V1" s="16"/>
      <c r="W1" s="16"/>
      <c r="X1" s="16"/>
      <c r="Y1" s="16"/>
      <c r="Z1" s="16"/>
    </row>
    <row r="2" spans="1:32" s="7" customFormat="1" ht="15.6">
      <c r="A2" s="288" t="s">
        <v>568</v>
      </c>
      <c r="M2" s="8"/>
      <c r="N2" s="8"/>
      <c r="O2" s="8"/>
      <c r="P2" s="8"/>
      <c r="Q2" s="8"/>
      <c r="R2" s="8"/>
      <c r="S2" s="8"/>
      <c r="T2" s="8"/>
      <c r="U2" s="8"/>
      <c r="V2" s="8"/>
      <c r="W2" s="8"/>
      <c r="X2" s="8"/>
      <c r="Y2" s="8"/>
      <c r="Z2" s="8"/>
    </row>
    <row r="3" spans="1:32" s="7" customFormat="1" ht="15.6">
      <c r="A3" s="20"/>
      <c r="B3" s="368" t="s">
        <v>247</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4" spans="1:32" s="7" customFormat="1" ht="15.6">
      <c r="A4" s="20"/>
      <c r="B4" s="8"/>
      <c r="C4" s="8"/>
      <c r="D4" s="8"/>
      <c r="E4" s="8"/>
      <c r="F4" s="8"/>
      <c r="G4" s="8"/>
      <c r="H4" s="8"/>
      <c r="I4" s="8"/>
      <c r="J4" s="8"/>
      <c r="K4" s="8"/>
      <c r="L4" s="8"/>
      <c r="M4" s="8"/>
      <c r="N4" s="8"/>
      <c r="O4" s="8"/>
      <c r="P4" s="8"/>
      <c r="Q4" s="8"/>
      <c r="R4" s="8"/>
      <c r="S4" s="8"/>
      <c r="T4" s="8"/>
      <c r="U4" s="8"/>
      <c r="V4" s="8"/>
      <c r="W4" s="8"/>
      <c r="X4" s="8"/>
      <c r="Y4" s="8"/>
      <c r="Z4" s="8"/>
      <c r="AB4" s="370" t="s">
        <v>10</v>
      </c>
      <c r="AC4" s="370"/>
      <c r="AD4" s="370"/>
      <c r="AE4" s="370"/>
      <c r="AF4" s="370"/>
    </row>
    <row r="5" spans="1:32" s="44" customFormat="1" ht="18" customHeight="1">
      <c r="A5" s="358" t="s">
        <v>9</v>
      </c>
      <c r="B5" s="358" t="s">
        <v>8</v>
      </c>
      <c r="C5" s="359" t="s">
        <v>57</v>
      </c>
      <c r="D5" s="359"/>
      <c r="E5" s="359"/>
      <c r="F5" s="359"/>
      <c r="G5" s="359"/>
      <c r="H5" s="359"/>
      <c r="I5" s="359"/>
      <c r="J5" s="359"/>
      <c r="K5" s="359"/>
      <c r="L5" s="359"/>
      <c r="M5" s="359"/>
      <c r="N5" s="359" t="s">
        <v>60</v>
      </c>
      <c r="O5" s="359"/>
      <c r="P5" s="359"/>
      <c r="Q5" s="359"/>
      <c r="R5" s="359"/>
      <c r="S5" s="362" t="s">
        <v>67</v>
      </c>
      <c r="T5" s="363"/>
      <c r="U5" s="363"/>
      <c r="V5" s="364"/>
      <c r="W5" s="359" t="s">
        <v>61</v>
      </c>
      <c r="X5" s="359"/>
      <c r="Y5" s="359"/>
      <c r="Z5" s="359"/>
      <c r="AA5" s="359"/>
      <c r="AB5" s="369" t="s">
        <v>62</v>
      </c>
      <c r="AC5" s="369"/>
      <c r="AD5" s="369"/>
      <c r="AE5" s="369"/>
      <c r="AF5" s="369"/>
    </row>
    <row r="6" spans="1:32" s="44" customFormat="1" ht="18" customHeight="1">
      <c r="A6" s="358"/>
      <c r="B6" s="358"/>
      <c r="C6" s="360" t="s">
        <v>3</v>
      </c>
      <c r="D6" s="360" t="s">
        <v>58</v>
      </c>
      <c r="E6" s="360"/>
      <c r="F6" s="360"/>
      <c r="G6" s="360"/>
      <c r="H6" s="360"/>
      <c r="I6" s="360" t="s">
        <v>59</v>
      </c>
      <c r="J6" s="360"/>
      <c r="K6" s="360"/>
      <c r="L6" s="360"/>
      <c r="M6" s="360"/>
      <c r="N6" s="359"/>
      <c r="O6" s="359"/>
      <c r="P6" s="359"/>
      <c r="Q6" s="359"/>
      <c r="R6" s="359"/>
      <c r="S6" s="365"/>
      <c r="T6" s="366"/>
      <c r="U6" s="366"/>
      <c r="V6" s="367"/>
      <c r="W6" s="359"/>
      <c r="X6" s="359"/>
      <c r="Y6" s="359"/>
      <c r="Z6" s="359"/>
      <c r="AA6" s="359"/>
      <c r="AB6" s="369"/>
      <c r="AC6" s="369"/>
      <c r="AD6" s="369"/>
      <c r="AE6" s="369"/>
      <c r="AF6" s="369"/>
    </row>
    <row r="7" spans="1:32" s="44" customFormat="1" ht="35.25" customHeight="1">
      <c r="A7" s="358"/>
      <c r="B7" s="358"/>
      <c r="C7" s="360"/>
      <c r="D7" s="43" t="s">
        <v>7</v>
      </c>
      <c r="E7" s="43" t="s">
        <v>46</v>
      </c>
      <c r="F7" s="43" t="s">
        <v>47</v>
      </c>
      <c r="G7" s="43" t="s">
        <v>5</v>
      </c>
      <c r="H7" s="43" t="s">
        <v>4</v>
      </c>
      <c r="I7" s="43" t="s">
        <v>7</v>
      </c>
      <c r="J7" s="43" t="s">
        <v>46</v>
      </c>
      <c r="K7" s="43" t="s">
        <v>47</v>
      </c>
      <c r="L7" s="43" t="s">
        <v>5</v>
      </c>
      <c r="M7" s="43" t="s">
        <v>4</v>
      </c>
      <c r="N7" s="43" t="s">
        <v>7</v>
      </c>
      <c r="O7" s="43" t="s">
        <v>46</v>
      </c>
      <c r="P7" s="43" t="s">
        <v>47</v>
      </c>
      <c r="Q7" s="43" t="s">
        <v>5</v>
      </c>
      <c r="R7" s="43" t="s">
        <v>4</v>
      </c>
      <c r="S7" s="43" t="s">
        <v>46</v>
      </c>
      <c r="T7" s="43" t="s">
        <v>47</v>
      </c>
      <c r="U7" s="43" t="s">
        <v>5</v>
      </c>
      <c r="V7" s="43" t="s">
        <v>4</v>
      </c>
      <c r="W7" s="43" t="s">
        <v>7</v>
      </c>
      <c r="X7" s="43" t="s">
        <v>46</v>
      </c>
      <c r="Y7" s="43" t="s">
        <v>47</v>
      </c>
      <c r="Z7" s="43" t="s">
        <v>5</v>
      </c>
      <c r="AA7" s="43" t="s">
        <v>4</v>
      </c>
      <c r="AB7" s="45" t="s">
        <v>7</v>
      </c>
      <c r="AC7" s="43" t="s">
        <v>46</v>
      </c>
      <c r="AD7" s="43" t="s">
        <v>47</v>
      </c>
      <c r="AE7" s="43" t="s">
        <v>5</v>
      </c>
      <c r="AF7" s="43" t="s">
        <v>4</v>
      </c>
    </row>
    <row r="8" spans="1:32" s="39" customFormat="1" ht="16.5" customHeight="1">
      <c r="A8" s="35"/>
      <c r="B8" s="36" t="s">
        <v>568</v>
      </c>
      <c r="C8" s="37">
        <f>+C9+C10</f>
        <v>79510.38706400001</v>
      </c>
      <c r="D8" s="37">
        <f t="shared" ref="D8:AA8" si="0">+D9+D10</f>
        <v>0</v>
      </c>
      <c r="E8" s="37">
        <f t="shared" si="0"/>
        <v>0</v>
      </c>
      <c r="F8" s="37">
        <f t="shared" si="0"/>
        <v>0</v>
      </c>
      <c r="G8" s="37">
        <f t="shared" si="0"/>
        <v>0</v>
      </c>
      <c r="H8" s="37">
        <f t="shared" si="0"/>
        <v>0</v>
      </c>
      <c r="I8" s="37">
        <f t="shared" si="0"/>
        <v>79510.38706400001</v>
      </c>
      <c r="J8" s="37">
        <f t="shared" si="0"/>
        <v>6379.6</v>
      </c>
      <c r="K8" s="37">
        <f t="shared" si="0"/>
        <v>12071.7792952</v>
      </c>
      <c r="L8" s="37">
        <f t="shared" si="0"/>
        <v>11693.511768800001</v>
      </c>
      <c r="M8" s="37">
        <f t="shared" si="0"/>
        <v>49365.495999999999</v>
      </c>
      <c r="N8" s="37">
        <f t="shared" si="0"/>
        <v>79345.38706400001</v>
      </c>
      <c r="O8" s="37">
        <f t="shared" si="0"/>
        <v>6214.6</v>
      </c>
      <c r="P8" s="37">
        <f t="shared" si="0"/>
        <v>12071.7792952</v>
      </c>
      <c r="Q8" s="37">
        <f t="shared" si="0"/>
        <v>11693.511768800001</v>
      </c>
      <c r="R8" s="37">
        <f t="shared" si="0"/>
        <v>49365.495999999999</v>
      </c>
      <c r="S8" s="37">
        <f t="shared" si="0"/>
        <v>0</v>
      </c>
      <c r="T8" s="37">
        <f t="shared" si="0"/>
        <v>0</v>
      </c>
      <c r="U8" s="37">
        <f t="shared" si="0"/>
        <v>0</v>
      </c>
      <c r="V8" s="37">
        <f t="shared" si="0"/>
        <v>0</v>
      </c>
      <c r="W8" s="37">
        <f t="shared" si="0"/>
        <v>165</v>
      </c>
      <c r="X8" s="37">
        <f t="shared" si="0"/>
        <v>165</v>
      </c>
      <c r="Y8" s="37">
        <f t="shared" si="0"/>
        <v>0</v>
      </c>
      <c r="Z8" s="37">
        <f t="shared" si="0"/>
        <v>0</v>
      </c>
      <c r="AA8" s="37">
        <f t="shared" si="0"/>
        <v>0</v>
      </c>
      <c r="AB8" s="290">
        <v>0.998</v>
      </c>
      <c r="AC8" s="38">
        <f>+O8/J8</f>
        <v>0.97413630948648822</v>
      </c>
      <c r="AD8" s="38">
        <f t="shared" ref="AD8:AF23" si="1">+P8/K8</f>
        <v>1</v>
      </c>
      <c r="AE8" s="38">
        <f t="shared" si="1"/>
        <v>1</v>
      </c>
      <c r="AF8" s="38">
        <f t="shared" si="1"/>
        <v>1</v>
      </c>
    </row>
    <row r="9" spans="1:32" s="39" customFormat="1" ht="16.5" customHeight="1">
      <c r="A9" s="40">
        <v>1</v>
      </c>
      <c r="B9" s="41" t="s">
        <v>2</v>
      </c>
      <c r="C9" s="42">
        <f>+C13+C16+C19+C22+C25+C28+C31+C34</f>
        <v>56020.140064000007</v>
      </c>
      <c r="D9" s="42">
        <f t="shared" ref="D9:AA9" si="2">+D13+D16+D19+D22+D25+D28+D31+D34</f>
        <v>0</v>
      </c>
      <c r="E9" s="42">
        <f t="shared" si="2"/>
        <v>0</v>
      </c>
      <c r="F9" s="42">
        <f t="shared" si="2"/>
        <v>0</v>
      </c>
      <c r="G9" s="42">
        <f t="shared" si="2"/>
        <v>0</v>
      </c>
      <c r="H9" s="42">
        <f t="shared" si="2"/>
        <v>0</v>
      </c>
      <c r="I9" s="42">
        <f t="shared" si="2"/>
        <v>56020.140064000007</v>
      </c>
      <c r="J9" s="42">
        <f t="shared" si="2"/>
        <v>4455</v>
      </c>
      <c r="K9" s="42">
        <f t="shared" si="2"/>
        <v>7818.3042951999996</v>
      </c>
      <c r="L9" s="42">
        <f t="shared" si="2"/>
        <v>6224.3397688000005</v>
      </c>
      <c r="M9" s="42">
        <f t="shared" si="2"/>
        <v>37522.495999999999</v>
      </c>
      <c r="N9" s="42">
        <f t="shared" si="2"/>
        <v>56020.140064000007</v>
      </c>
      <c r="O9" s="42">
        <f t="shared" si="2"/>
        <v>4455</v>
      </c>
      <c r="P9" s="42">
        <f t="shared" si="2"/>
        <v>7818.3042951999996</v>
      </c>
      <c r="Q9" s="42">
        <f t="shared" si="2"/>
        <v>6224.3397688000005</v>
      </c>
      <c r="R9" s="42">
        <f t="shared" si="2"/>
        <v>37522.495999999999</v>
      </c>
      <c r="S9" s="42">
        <f t="shared" si="2"/>
        <v>0</v>
      </c>
      <c r="T9" s="42">
        <f t="shared" si="2"/>
        <v>0</v>
      </c>
      <c r="U9" s="42">
        <f t="shared" si="2"/>
        <v>0</v>
      </c>
      <c r="V9" s="42">
        <f t="shared" si="2"/>
        <v>0</v>
      </c>
      <c r="W9" s="42">
        <f t="shared" si="2"/>
        <v>0</v>
      </c>
      <c r="X9" s="42">
        <f t="shared" si="2"/>
        <v>0</v>
      </c>
      <c r="Y9" s="42">
        <f t="shared" si="2"/>
        <v>0</v>
      </c>
      <c r="Z9" s="42">
        <f t="shared" si="2"/>
        <v>0</v>
      </c>
      <c r="AA9" s="42">
        <f t="shared" si="2"/>
        <v>0</v>
      </c>
      <c r="AB9" s="162">
        <f t="shared" ref="AB9:AB35" si="3">+N9/I9</f>
        <v>1</v>
      </c>
      <c r="AC9" s="162">
        <f>+O9/J9</f>
        <v>1</v>
      </c>
      <c r="AD9" s="162">
        <f t="shared" si="1"/>
        <v>1</v>
      </c>
      <c r="AE9" s="162">
        <f t="shared" si="1"/>
        <v>1</v>
      </c>
      <c r="AF9" s="162">
        <f t="shared" si="1"/>
        <v>1</v>
      </c>
    </row>
    <row r="10" spans="1:32" s="39" customFormat="1" ht="16.5" customHeight="1">
      <c r="A10" s="40">
        <v>2</v>
      </c>
      <c r="B10" s="41" t="s">
        <v>0</v>
      </c>
      <c r="C10" s="42">
        <f>+C14+C17+C20+C23+C26+C29+C32+C35</f>
        <v>23490.246999999999</v>
      </c>
      <c r="D10" s="42">
        <f t="shared" ref="D10:AA10" si="4">+D14+D17+D20+D23+D26+D29+D32+D35</f>
        <v>0</v>
      </c>
      <c r="E10" s="42">
        <f t="shared" si="4"/>
        <v>0</v>
      </c>
      <c r="F10" s="42">
        <f t="shared" si="4"/>
        <v>0</v>
      </c>
      <c r="G10" s="42">
        <f t="shared" si="4"/>
        <v>0</v>
      </c>
      <c r="H10" s="42">
        <f t="shared" si="4"/>
        <v>0</v>
      </c>
      <c r="I10" s="42">
        <f t="shared" si="4"/>
        <v>23490.246999999999</v>
      </c>
      <c r="J10" s="42">
        <f t="shared" si="4"/>
        <v>1924.6</v>
      </c>
      <c r="K10" s="42">
        <f t="shared" si="4"/>
        <v>4253.4750000000004</v>
      </c>
      <c r="L10" s="42">
        <f t="shared" si="4"/>
        <v>5469.1720000000005</v>
      </c>
      <c r="M10" s="42">
        <f t="shared" si="4"/>
        <v>11843</v>
      </c>
      <c r="N10" s="42">
        <f t="shared" si="4"/>
        <v>23325.246999999999</v>
      </c>
      <c r="O10" s="42">
        <f t="shared" si="4"/>
        <v>1759.6</v>
      </c>
      <c r="P10" s="42">
        <f t="shared" si="4"/>
        <v>4253.4750000000004</v>
      </c>
      <c r="Q10" s="42">
        <f t="shared" si="4"/>
        <v>5469.1720000000005</v>
      </c>
      <c r="R10" s="42">
        <f t="shared" si="4"/>
        <v>11843</v>
      </c>
      <c r="S10" s="42">
        <f t="shared" si="4"/>
        <v>0</v>
      </c>
      <c r="T10" s="42">
        <f t="shared" si="4"/>
        <v>0</v>
      </c>
      <c r="U10" s="42">
        <f t="shared" si="4"/>
        <v>0</v>
      </c>
      <c r="V10" s="42">
        <f t="shared" si="4"/>
        <v>0</v>
      </c>
      <c r="W10" s="42">
        <f t="shared" si="4"/>
        <v>165</v>
      </c>
      <c r="X10" s="42">
        <f t="shared" si="4"/>
        <v>165</v>
      </c>
      <c r="Y10" s="42">
        <f t="shared" si="4"/>
        <v>0</v>
      </c>
      <c r="Z10" s="42">
        <f t="shared" si="4"/>
        <v>0</v>
      </c>
      <c r="AA10" s="42">
        <f t="shared" si="4"/>
        <v>0</v>
      </c>
      <c r="AB10" s="162">
        <f t="shared" si="3"/>
        <v>0.9929758082152137</v>
      </c>
      <c r="AC10" s="162">
        <f>+O10/J10</f>
        <v>0.91426789982333989</v>
      </c>
      <c r="AD10" s="162">
        <f t="shared" si="1"/>
        <v>1</v>
      </c>
      <c r="AE10" s="162">
        <f t="shared" ref="AE10:AF35" si="5">+Q10/L10</f>
        <v>1</v>
      </c>
      <c r="AF10" s="162">
        <f t="shared" ref="AF10" si="6">+R10/M10</f>
        <v>1</v>
      </c>
    </row>
    <row r="11" spans="1:32" s="39" customFormat="1" ht="16.5" customHeight="1">
      <c r="A11" s="40"/>
      <c r="B11" s="41" t="s">
        <v>28</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38"/>
      <c r="AC11" s="162"/>
      <c r="AD11" s="162"/>
      <c r="AE11" s="162"/>
      <c r="AF11" s="162"/>
    </row>
    <row r="12" spans="1:32" s="56" customFormat="1" ht="19.2" customHeight="1">
      <c r="A12" s="52" t="s">
        <v>14</v>
      </c>
      <c r="B12" s="53" t="s">
        <v>45</v>
      </c>
      <c r="C12" s="54">
        <f t="shared" ref="C12:C35" si="7">+D12+I12</f>
        <v>1075.7149999999999</v>
      </c>
      <c r="D12" s="54"/>
      <c r="E12" s="54"/>
      <c r="F12" s="54"/>
      <c r="G12" s="54"/>
      <c r="H12" s="54"/>
      <c r="I12" s="54">
        <f>+I13+I14</f>
        <v>1075.7149999999999</v>
      </c>
      <c r="J12" s="54">
        <f t="shared" ref="J12:AA12" si="8">+J13+J14</f>
        <v>250</v>
      </c>
      <c r="K12" s="54">
        <f t="shared" si="8"/>
        <v>324.47500000000002</v>
      </c>
      <c r="L12" s="54">
        <f t="shared" si="8"/>
        <v>0</v>
      </c>
      <c r="M12" s="54">
        <f t="shared" si="8"/>
        <v>501.23999999999995</v>
      </c>
      <c r="N12" s="54">
        <f t="shared" si="8"/>
        <v>1075.7149999999999</v>
      </c>
      <c r="O12" s="54">
        <f t="shared" si="8"/>
        <v>250</v>
      </c>
      <c r="P12" s="54">
        <f t="shared" si="8"/>
        <v>324.47500000000002</v>
      </c>
      <c r="Q12" s="54">
        <f t="shared" si="8"/>
        <v>0</v>
      </c>
      <c r="R12" s="54">
        <f t="shared" si="8"/>
        <v>501.23999999999995</v>
      </c>
      <c r="S12" s="54">
        <f t="shared" si="8"/>
        <v>0</v>
      </c>
      <c r="T12" s="54">
        <f t="shared" si="8"/>
        <v>0</v>
      </c>
      <c r="U12" s="54">
        <f t="shared" si="8"/>
        <v>0</v>
      </c>
      <c r="V12" s="54">
        <f t="shared" si="8"/>
        <v>0</v>
      </c>
      <c r="W12" s="54">
        <f t="shared" si="8"/>
        <v>0</v>
      </c>
      <c r="X12" s="54">
        <f t="shared" si="8"/>
        <v>0</v>
      </c>
      <c r="Y12" s="54">
        <f t="shared" si="8"/>
        <v>0</v>
      </c>
      <c r="Z12" s="54">
        <f t="shared" si="8"/>
        <v>0</v>
      </c>
      <c r="AA12" s="54">
        <f t="shared" si="8"/>
        <v>0</v>
      </c>
      <c r="AB12" s="55">
        <f t="shared" si="3"/>
        <v>1</v>
      </c>
      <c r="AC12" s="244">
        <f t="shared" ref="AC12:AD35" si="9">+O12/J12</f>
        <v>1</v>
      </c>
      <c r="AD12" s="244">
        <f t="shared" si="1"/>
        <v>1</v>
      </c>
      <c r="AE12" s="244"/>
      <c r="AF12" s="244">
        <f t="shared" ref="AF12" si="10">+R12/M12</f>
        <v>1</v>
      </c>
    </row>
    <row r="13" spans="1:32" s="39" customFormat="1" ht="19.2" customHeight="1">
      <c r="A13" s="40">
        <v>1</v>
      </c>
      <c r="B13" s="41" t="s">
        <v>2</v>
      </c>
      <c r="C13" s="42">
        <f t="shared" si="7"/>
        <v>501.23999999999995</v>
      </c>
      <c r="D13" s="42"/>
      <c r="E13" s="42"/>
      <c r="F13" s="42"/>
      <c r="G13" s="42"/>
      <c r="H13" s="42"/>
      <c r="I13" s="42">
        <f>SUM(J13:M13)</f>
        <v>501.23999999999995</v>
      </c>
      <c r="J13" s="42">
        <v>0</v>
      </c>
      <c r="K13" s="42">
        <v>0</v>
      </c>
      <c r="L13" s="42">
        <v>0</v>
      </c>
      <c r="M13" s="42">
        <v>501.23999999999995</v>
      </c>
      <c r="N13" s="42">
        <f>SUM(O13:R13)</f>
        <v>501.23999999999995</v>
      </c>
      <c r="O13" s="42">
        <v>0</v>
      </c>
      <c r="P13" s="42">
        <v>0</v>
      </c>
      <c r="Q13" s="42">
        <v>0</v>
      </c>
      <c r="R13" s="42">
        <v>501.23999999999995</v>
      </c>
      <c r="S13" s="42"/>
      <c r="T13" s="42"/>
      <c r="U13" s="42"/>
      <c r="V13" s="42"/>
      <c r="W13" s="42"/>
      <c r="X13" s="42"/>
      <c r="Y13" s="42"/>
      <c r="Z13" s="42"/>
      <c r="AA13" s="42"/>
      <c r="AB13" s="162">
        <f>+N13/I13</f>
        <v>1</v>
      </c>
      <c r="AC13" s="162"/>
      <c r="AD13" s="162"/>
      <c r="AE13" s="162"/>
      <c r="AF13" s="162">
        <f t="shared" ref="AF13" si="11">+R13/M13</f>
        <v>1</v>
      </c>
    </row>
    <row r="14" spans="1:32" s="39" customFormat="1" ht="19.2" customHeight="1">
      <c r="A14" s="40">
        <v>2</v>
      </c>
      <c r="B14" s="41" t="s">
        <v>0</v>
      </c>
      <c r="C14" s="42">
        <f t="shared" si="7"/>
        <v>574.47500000000002</v>
      </c>
      <c r="D14" s="42"/>
      <c r="E14" s="42"/>
      <c r="F14" s="42"/>
      <c r="G14" s="42"/>
      <c r="H14" s="42"/>
      <c r="I14" s="42">
        <f>SUM(J14:M14)</f>
        <v>574.47500000000002</v>
      </c>
      <c r="J14" s="42">
        <v>250</v>
      </c>
      <c r="K14" s="42">
        <v>324.47500000000002</v>
      </c>
      <c r="L14" s="42"/>
      <c r="M14" s="42"/>
      <c r="N14" s="42">
        <f>SUM(O14:R14)</f>
        <v>574.47500000000002</v>
      </c>
      <c r="O14" s="42">
        <v>250</v>
      </c>
      <c r="P14" s="42">
        <v>324.47500000000002</v>
      </c>
      <c r="Q14" s="42">
        <v>0</v>
      </c>
      <c r="R14" s="42">
        <v>0</v>
      </c>
      <c r="S14" s="42"/>
      <c r="T14" s="42"/>
      <c r="U14" s="42"/>
      <c r="V14" s="42"/>
      <c r="W14" s="42"/>
      <c r="X14" s="42"/>
      <c r="Y14" s="42"/>
      <c r="Z14" s="42"/>
      <c r="AA14" s="42"/>
      <c r="AB14" s="162">
        <f t="shared" si="3"/>
        <v>1</v>
      </c>
      <c r="AC14" s="162">
        <f t="shared" ref="AC14:AC15" si="12">+O14/J14</f>
        <v>1</v>
      </c>
      <c r="AD14" s="162">
        <f t="shared" ref="AD14:AD15" si="13">+P14/K14</f>
        <v>1</v>
      </c>
      <c r="AE14" s="162"/>
      <c r="AF14" s="162"/>
    </row>
    <row r="15" spans="1:32" s="56" customFormat="1" ht="19.2" customHeight="1">
      <c r="A15" s="52" t="s">
        <v>14</v>
      </c>
      <c r="B15" s="53" t="s">
        <v>260</v>
      </c>
      <c r="C15" s="54">
        <f t="shared" si="7"/>
        <v>7494.38</v>
      </c>
      <c r="D15" s="54"/>
      <c r="E15" s="54"/>
      <c r="F15" s="54"/>
      <c r="G15" s="54"/>
      <c r="H15" s="54"/>
      <c r="I15" s="54">
        <f>+I16+I17</f>
        <v>7494.38</v>
      </c>
      <c r="J15" s="54">
        <f t="shared" ref="J15:AA15" si="14">+J16+J17</f>
        <v>620</v>
      </c>
      <c r="K15" s="54">
        <f t="shared" si="14"/>
        <v>72</v>
      </c>
      <c r="L15" s="54">
        <f t="shared" si="14"/>
        <v>0</v>
      </c>
      <c r="M15" s="54">
        <f t="shared" si="14"/>
        <v>6802.38</v>
      </c>
      <c r="N15" s="54">
        <f t="shared" si="14"/>
        <v>7494.38</v>
      </c>
      <c r="O15" s="54">
        <f t="shared" si="14"/>
        <v>620</v>
      </c>
      <c r="P15" s="54">
        <f t="shared" si="14"/>
        <v>72</v>
      </c>
      <c r="Q15" s="54">
        <f t="shared" si="14"/>
        <v>0</v>
      </c>
      <c r="R15" s="54">
        <f t="shared" si="14"/>
        <v>6802.38</v>
      </c>
      <c r="S15" s="54">
        <f t="shared" si="14"/>
        <v>0</v>
      </c>
      <c r="T15" s="54">
        <f t="shared" si="14"/>
        <v>0</v>
      </c>
      <c r="U15" s="54">
        <f t="shared" si="14"/>
        <v>0</v>
      </c>
      <c r="V15" s="54">
        <f t="shared" si="14"/>
        <v>0</v>
      </c>
      <c r="W15" s="54">
        <f t="shared" si="14"/>
        <v>0</v>
      </c>
      <c r="X15" s="54">
        <f t="shared" si="14"/>
        <v>0</v>
      </c>
      <c r="Y15" s="54">
        <f t="shared" si="14"/>
        <v>0</v>
      </c>
      <c r="Z15" s="54">
        <f t="shared" si="14"/>
        <v>0</v>
      </c>
      <c r="AA15" s="54">
        <f t="shared" si="14"/>
        <v>0</v>
      </c>
      <c r="AB15" s="55">
        <f t="shared" si="3"/>
        <v>1</v>
      </c>
      <c r="AC15" s="55">
        <f t="shared" si="12"/>
        <v>1</v>
      </c>
      <c r="AD15" s="55">
        <f t="shared" si="13"/>
        <v>1</v>
      </c>
      <c r="AE15" s="55"/>
      <c r="AF15" s="55">
        <f t="shared" ref="AF15" si="15">+R15/M15</f>
        <v>1</v>
      </c>
    </row>
    <row r="16" spans="1:32" s="39" customFormat="1" ht="19.2" customHeight="1">
      <c r="A16" s="40">
        <v>1</v>
      </c>
      <c r="B16" s="41" t="s">
        <v>2</v>
      </c>
      <c r="C16" s="42">
        <f t="shared" si="7"/>
        <v>6802.38</v>
      </c>
      <c r="D16" s="42"/>
      <c r="E16" s="42"/>
      <c r="F16" s="42"/>
      <c r="G16" s="42"/>
      <c r="H16" s="42"/>
      <c r="I16" s="42">
        <f>SUM(J16:M16)</f>
        <v>6802.38</v>
      </c>
      <c r="J16" s="42">
        <v>0</v>
      </c>
      <c r="K16" s="42">
        <v>0</v>
      </c>
      <c r="L16" s="42">
        <v>0</v>
      </c>
      <c r="M16" s="42">
        <v>6802.38</v>
      </c>
      <c r="N16" s="42">
        <f>SUM(O16:R16)</f>
        <v>6802.38</v>
      </c>
      <c r="O16" s="42"/>
      <c r="P16" s="42"/>
      <c r="Q16" s="42"/>
      <c r="R16" s="42">
        <v>6802.38</v>
      </c>
      <c r="S16" s="42"/>
      <c r="T16" s="42"/>
      <c r="U16" s="42"/>
      <c r="V16" s="42"/>
      <c r="W16" s="42"/>
      <c r="X16" s="42"/>
      <c r="Y16" s="42"/>
      <c r="Z16" s="42"/>
      <c r="AA16" s="42"/>
      <c r="AB16" s="162">
        <f t="shared" si="3"/>
        <v>1</v>
      </c>
      <c r="AC16" s="162"/>
      <c r="AD16" s="162"/>
      <c r="AE16" s="162"/>
      <c r="AF16" s="162">
        <f t="shared" ref="AF16" si="16">+R16/M16</f>
        <v>1</v>
      </c>
    </row>
    <row r="17" spans="1:32" s="39" customFormat="1" ht="19.2" customHeight="1">
      <c r="A17" s="40">
        <v>2</v>
      </c>
      <c r="B17" s="41" t="s">
        <v>0</v>
      </c>
      <c r="C17" s="42">
        <f t="shared" si="7"/>
        <v>692</v>
      </c>
      <c r="D17" s="42"/>
      <c r="E17" s="42"/>
      <c r="F17" s="42"/>
      <c r="G17" s="42"/>
      <c r="H17" s="42"/>
      <c r="I17" s="42">
        <f>SUM(J17:M17)</f>
        <v>692</v>
      </c>
      <c r="J17" s="42">
        <v>620</v>
      </c>
      <c r="K17" s="42">
        <v>72</v>
      </c>
      <c r="L17" s="42"/>
      <c r="M17" s="42"/>
      <c r="N17" s="42">
        <f>SUM(O17:R17)</f>
        <v>692</v>
      </c>
      <c r="O17" s="42">
        <v>620</v>
      </c>
      <c r="P17" s="42">
        <v>72</v>
      </c>
      <c r="Q17" s="42">
        <v>0</v>
      </c>
      <c r="R17" s="42">
        <v>0</v>
      </c>
      <c r="S17" s="42"/>
      <c r="T17" s="42"/>
      <c r="U17" s="42"/>
      <c r="V17" s="42"/>
      <c r="W17" s="42"/>
      <c r="X17" s="42"/>
      <c r="Y17" s="42"/>
      <c r="Z17" s="42"/>
      <c r="AA17" s="42"/>
      <c r="AB17" s="162">
        <f t="shared" si="3"/>
        <v>1</v>
      </c>
      <c r="AC17" s="162">
        <f t="shared" si="9"/>
        <v>1</v>
      </c>
      <c r="AD17" s="162">
        <f t="shared" si="1"/>
        <v>1</v>
      </c>
      <c r="AE17" s="162"/>
      <c r="AF17" s="162"/>
    </row>
    <row r="18" spans="1:32" s="56" customFormat="1" ht="19.2" customHeight="1">
      <c r="A18" s="52" t="s">
        <v>14</v>
      </c>
      <c r="B18" s="53" t="s">
        <v>261</v>
      </c>
      <c r="C18" s="54">
        <f t="shared" si="7"/>
        <v>5891.7759999999998</v>
      </c>
      <c r="D18" s="54"/>
      <c r="E18" s="54"/>
      <c r="F18" s="54"/>
      <c r="G18" s="54"/>
      <c r="H18" s="54"/>
      <c r="I18" s="54">
        <f>+I19+I20</f>
        <v>5891.7759999999998</v>
      </c>
      <c r="J18" s="54">
        <f t="shared" ref="J18:AA18" si="17">+J19+J20</f>
        <v>962</v>
      </c>
      <c r="K18" s="54">
        <f t="shared" si="17"/>
        <v>19</v>
      </c>
      <c r="L18" s="54">
        <f t="shared" si="17"/>
        <v>321.36</v>
      </c>
      <c r="M18" s="54">
        <f t="shared" si="17"/>
        <v>4589.4160000000002</v>
      </c>
      <c r="N18" s="54">
        <f t="shared" si="17"/>
        <v>5891.7759999999998</v>
      </c>
      <c r="O18" s="54">
        <f t="shared" si="17"/>
        <v>962</v>
      </c>
      <c r="P18" s="54">
        <f t="shared" si="17"/>
        <v>19</v>
      </c>
      <c r="Q18" s="54">
        <f t="shared" si="17"/>
        <v>321.36</v>
      </c>
      <c r="R18" s="54">
        <f t="shared" si="17"/>
        <v>4589.4160000000002</v>
      </c>
      <c r="S18" s="54">
        <f t="shared" si="17"/>
        <v>0</v>
      </c>
      <c r="T18" s="54">
        <f t="shared" si="17"/>
        <v>0</v>
      </c>
      <c r="U18" s="54">
        <f t="shared" si="17"/>
        <v>0</v>
      </c>
      <c r="V18" s="54">
        <f t="shared" si="17"/>
        <v>0</v>
      </c>
      <c r="W18" s="54">
        <f t="shared" si="17"/>
        <v>0</v>
      </c>
      <c r="X18" s="54">
        <f t="shared" si="17"/>
        <v>0</v>
      </c>
      <c r="Y18" s="54">
        <f t="shared" si="17"/>
        <v>0</v>
      </c>
      <c r="Z18" s="54">
        <f t="shared" si="17"/>
        <v>0</v>
      </c>
      <c r="AA18" s="54">
        <f t="shared" si="17"/>
        <v>0</v>
      </c>
      <c r="AB18" s="55">
        <f t="shared" si="3"/>
        <v>1</v>
      </c>
      <c r="AC18" s="55">
        <f t="shared" si="9"/>
        <v>1</v>
      </c>
      <c r="AD18" s="55">
        <f t="shared" si="1"/>
        <v>1</v>
      </c>
      <c r="AE18" s="55">
        <f t="shared" ref="AE18" si="18">+Q18/L18</f>
        <v>1</v>
      </c>
      <c r="AF18" s="55">
        <f t="shared" ref="AF18" si="19">+R18/M18</f>
        <v>1</v>
      </c>
    </row>
    <row r="19" spans="1:32" s="39" customFormat="1" ht="19.2" customHeight="1">
      <c r="A19" s="40">
        <v>1</v>
      </c>
      <c r="B19" s="41" t="s">
        <v>2</v>
      </c>
      <c r="C19" s="42">
        <f t="shared" si="7"/>
        <v>5872.7759999999998</v>
      </c>
      <c r="D19" s="42"/>
      <c r="E19" s="42"/>
      <c r="F19" s="42"/>
      <c r="G19" s="42"/>
      <c r="H19" s="42"/>
      <c r="I19" s="42">
        <f>SUM(J19:M19)</f>
        <v>5872.7759999999998</v>
      </c>
      <c r="J19" s="42">
        <v>962</v>
      </c>
      <c r="K19" s="42">
        <v>0</v>
      </c>
      <c r="L19" s="42">
        <v>321.36</v>
      </c>
      <c r="M19" s="42">
        <v>4589.4160000000002</v>
      </c>
      <c r="N19" s="42">
        <f>SUM(O19:R19)</f>
        <v>5872.7759999999998</v>
      </c>
      <c r="O19" s="42">
        <v>962</v>
      </c>
      <c r="P19" s="42">
        <v>0</v>
      </c>
      <c r="Q19" s="42">
        <v>321.36</v>
      </c>
      <c r="R19" s="42">
        <v>4589.4160000000002</v>
      </c>
      <c r="S19" s="42"/>
      <c r="T19" s="42"/>
      <c r="U19" s="42"/>
      <c r="V19" s="42"/>
      <c r="W19" s="42"/>
      <c r="X19" s="42"/>
      <c r="Y19" s="42"/>
      <c r="Z19" s="42"/>
      <c r="AA19" s="42"/>
      <c r="AB19" s="162">
        <f t="shared" si="3"/>
        <v>1</v>
      </c>
      <c r="AC19" s="162">
        <f>+O19/J19</f>
        <v>1</v>
      </c>
      <c r="AD19" s="162"/>
      <c r="AE19" s="162">
        <f t="shared" ref="AE19:AF19" si="20">+Q19/L19</f>
        <v>1</v>
      </c>
      <c r="AF19" s="162">
        <f t="shared" si="20"/>
        <v>1</v>
      </c>
    </row>
    <row r="20" spans="1:32" s="39" customFormat="1" ht="19.2" customHeight="1">
      <c r="A20" s="40">
        <v>2</v>
      </c>
      <c r="B20" s="41" t="s">
        <v>0</v>
      </c>
      <c r="C20" s="42">
        <f t="shared" si="7"/>
        <v>19</v>
      </c>
      <c r="D20" s="42"/>
      <c r="E20" s="42"/>
      <c r="F20" s="42"/>
      <c r="G20" s="42"/>
      <c r="H20" s="42"/>
      <c r="I20" s="42">
        <f>SUM(J20:M20)</f>
        <v>19</v>
      </c>
      <c r="J20" s="42"/>
      <c r="K20" s="42">
        <v>19</v>
      </c>
      <c r="L20" s="42"/>
      <c r="M20" s="42"/>
      <c r="N20" s="42">
        <f>SUM(O20:R20)</f>
        <v>19</v>
      </c>
      <c r="O20" s="42">
        <v>0</v>
      </c>
      <c r="P20" s="42">
        <v>19</v>
      </c>
      <c r="Q20" s="42">
        <v>0</v>
      </c>
      <c r="R20" s="42">
        <v>0</v>
      </c>
      <c r="S20" s="42"/>
      <c r="T20" s="42"/>
      <c r="U20" s="42"/>
      <c r="V20" s="42"/>
      <c r="W20" s="42"/>
      <c r="X20" s="42"/>
      <c r="Y20" s="42"/>
      <c r="Z20" s="42"/>
      <c r="AA20" s="42"/>
      <c r="AB20" s="162">
        <f t="shared" si="3"/>
        <v>1</v>
      </c>
      <c r="AC20" s="162"/>
      <c r="AD20" s="162">
        <f t="shared" si="1"/>
        <v>1</v>
      </c>
      <c r="AE20" s="162"/>
      <c r="AF20" s="162"/>
    </row>
    <row r="21" spans="1:32" s="56" customFormat="1" ht="19.2" customHeight="1">
      <c r="A21" s="52" t="s">
        <v>14</v>
      </c>
      <c r="B21" s="53" t="s">
        <v>262</v>
      </c>
      <c r="C21" s="54">
        <f t="shared" si="7"/>
        <v>12722.06</v>
      </c>
      <c r="D21" s="54"/>
      <c r="E21" s="54"/>
      <c r="F21" s="54"/>
      <c r="G21" s="54"/>
      <c r="H21" s="54"/>
      <c r="I21" s="54">
        <f>+I22+I23</f>
        <v>12722.06</v>
      </c>
      <c r="J21" s="54">
        <f t="shared" ref="J21:AA21" si="21">+J22+J23</f>
        <v>697.6</v>
      </c>
      <c r="K21" s="54">
        <f t="shared" si="21"/>
        <v>4361.9634999999998</v>
      </c>
      <c r="L21" s="54">
        <f t="shared" si="21"/>
        <v>450.11150000000009</v>
      </c>
      <c r="M21" s="54">
        <f t="shared" si="21"/>
        <v>7212.3849999999984</v>
      </c>
      <c r="N21" s="54">
        <f t="shared" si="21"/>
        <v>12722.06</v>
      </c>
      <c r="O21" s="54">
        <f t="shared" si="21"/>
        <v>697.6</v>
      </c>
      <c r="P21" s="54">
        <f t="shared" si="21"/>
        <v>4361.9634999999998</v>
      </c>
      <c r="Q21" s="54">
        <f t="shared" si="21"/>
        <v>450.11150000000009</v>
      </c>
      <c r="R21" s="54">
        <f t="shared" si="21"/>
        <v>7212.3849999999984</v>
      </c>
      <c r="S21" s="54">
        <f t="shared" si="21"/>
        <v>0</v>
      </c>
      <c r="T21" s="54">
        <f t="shared" si="21"/>
        <v>0</v>
      </c>
      <c r="U21" s="54">
        <f t="shared" si="21"/>
        <v>0</v>
      </c>
      <c r="V21" s="54">
        <f t="shared" si="21"/>
        <v>0</v>
      </c>
      <c r="W21" s="54">
        <f t="shared" si="21"/>
        <v>0</v>
      </c>
      <c r="X21" s="54">
        <f t="shared" si="21"/>
        <v>0</v>
      </c>
      <c r="Y21" s="54">
        <f t="shared" si="21"/>
        <v>0</v>
      </c>
      <c r="Z21" s="54">
        <f t="shared" si="21"/>
        <v>0</v>
      </c>
      <c r="AA21" s="54">
        <f t="shared" si="21"/>
        <v>0</v>
      </c>
      <c r="AB21" s="55">
        <f t="shared" si="3"/>
        <v>1</v>
      </c>
      <c r="AC21" s="55">
        <f t="shared" ref="AC21" si="22">+O21/J21</f>
        <v>1</v>
      </c>
      <c r="AD21" s="55">
        <f t="shared" si="1"/>
        <v>1</v>
      </c>
      <c r="AE21" s="55">
        <f t="shared" ref="AE21" si="23">+Q21/L21</f>
        <v>1</v>
      </c>
      <c r="AF21" s="55">
        <f t="shared" ref="AF21" si="24">+R21/M21</f>
        <v>1</v>
      </c>
    </row>
    <row r="22" spans="1:32" s="39" customFormat="1" ht="19.2" customHeight="1">
      <c r="A22" s="40">
        <v>1</v>
      </c>
      <c r="B22" s="41" t="s">
        <v>2</v>
      </c>
      <c r="C22" s="42">
        <f t="shared" si="7"/>
        <v>12420.46</v>
      </c>
      <c r="D22" s="42"/>
      <c r="E22" s="42"/>
      <c r="F22" s="42"/>
      <c r="G22" s="42"/>
      <c r="H22" s="42"/>
      <c r="I22" s="42">
        <f>SUM(J22:M22)</f>
        <v>12420.46</v>
      </c>
      <c r="J22" s="42">
        <v>461</v>
      </c>
      <c r="K22" s="42">
        <v>4336.9634999999998</v>
      </c>
      <c r="L22" s="42">
        <v>450.11150000000009</v>
      </c>
      <c r="M22" s="42">
        <v>7172.3849999999984</v>
      </c>
      <c r="N22" s="42">
        <f>SUM(O22:R22)</f>
        <v>12420.46</v>
      </c>
      <c r="O22" s="42">
        <v>461</v>
      </c>
      <c r="P22" s="42">
        <v>4336.9634999999998</v>
      </c>
      <c r="Q22" s="42">
        <v>450.11150000000009</v>
      </c>
      <c r="R22" s="42">
        <v>7172.3849999999984</v>
      </c>
      <c r="S22" s="42"/>
      <c r="T22" s="42"/>
      <c r="U22" s="42"/>
      <c r="V22" s="42"/>
      <c r="W22" s="42"/>
      <c r="X22" s="42"/>
      <c r="Y22" s="42"/>
      <c r="Z22" s="42"/>
      <c r="AA22" s="42"/>
      <c r="AB22" s="162">
        <f t="shared" si="3"/>
        <v>1</v>
      </c>
      <c r="AC22" s="162">
        <f t="shared" si="9"/>
        <v>1</v>
      </c>
      <c r="AD22" s="162">
        <f t="shared" si="1"/>
        <v>1</v>
      </c>
      <c r="AE22" s="162">
        <f t="shared" ref="AE22" si="25">+Q22/L22</f>
        <v>1</v>
      </c>
      <c r="AF22" s="162">
        <f t="shared" ref="AF22:AF24" si="26">+R22/M22</f>
        <v>1</v>
      </c>
    </row>
    <row r="23" spans="1:32" s="39" customFormat="1" ht="19.2" customHeight="1">
      <c r="A23" s="40">
        <v>2</v>
      </c>
      <c r="B23" s="41" t="s">
        <v>0</v>
      </c>
      <c r="C23" s="42">
        <f t="shared" si="7"/>
        <v>301.60000000000002</v>
      </c>
      <c r="D23" s="42"/>
      <c r="E23" s="42"/>
      <c r="F23" s="42"/>
      <c r="G23" s="42"/>
      <c r="H23" s="42"/>
      <c r="I23" s="42">
        <f>SUM(J23:M23)</f>
        <v>301.60000000000002</v>
      </c>
      <c r="J23" s="42">
        <v>236.6</v>
      </c>
      <c r="K23" s="42">
        <v>25</v>
      </c>
      <c r="L23" s="42"/>
      <c r="M23" s="42">
        <v>40</v>
      </c>
      <c r="N23" s="42">
        <f>SUM(O23:R23)</f>
        <v>301.60000000000002</v>
      </c>
      <c r="O23" s="42">
        <v>236.6</v>
      </c>
      <c r="P23" s="42">
        <v>25</v>
      </c>
      <c r="Q23" s="42">
        <v>0</v>
      </c>
      <c r="R23" s="42">
        <v>40</v>
      </c>
      <c r="S23" s="42"/>
      <c r="T23" s="42"/>
      <c r="U23" s="42"/>
      <c r="V23" s="42"/>
      <c r="W23" s="42"/>
      <c r="X23" s="42"/>
      <c r="Y23" s="42"/>
      <c r="Z23" s="42"/>
      <c r="AA23" s="42"/>
      <c r="AB23" s="162">
        <f t="shared" si="3"/>
        <v>1</v>
      </c>
      <c r="AC23" s="162">
        <f t="shared" si="9"/>
        <v>1</v>
      </c>
      <c r="AD23" s="162">
        <f t="shared" si="1"/>
        <v>1</v>
      </c>
      <c r="AE23" s="162"/>
      <c r="AF23" s="162">
        <f t="shared" si="26"/>
        <v>1</v>
      </c>
    </row>
    <row r="24" spans="1:32" s="56" customFormat="1" ht="19.2" customHeight="1">
      <c r="A24" s="52" t="s">
        <v>14</v>
      </c>
      <c r="B24" s="53" t="s">
        <v>263</v>
      </c>
      <c r="C24" s="54">
        <f t="shared" si="7"/>
        <v>18289.344000000001</v>
      </c>
      <c r="D24" s="54"/>
      <c r="E24" s="54"/>
      <c r="F24" s="54"/>
      <c r="G24" s="54"/>
      <c r="H24" s="54"/>
      <c r="I24" s="54">
        <f>+I25+I26</f>
        <v>18289.344000000001</v>
      </c>
      <c r="J24" s="54">
        <f t="shared" ref="J24:AA24" si="27">+J25+J26</f>
        <v>831</v>
      </c>
      <c r="K24" s="54">
        <f t="shared" si="27"/>
        <v>2863.4522000000002</v>
      </c>
      <c r="L24" s="54">
        <f t="shared" si="27"/>
        <v>1628.8968</v>
      </c>
      <c r="M24" s="54">
        <f t="shared" si="27"/>
        <v>12965.995000000001</v>
      </c>
      <c r="N24" s="54">
        <f t="shared" si="27"/>
        <v>18289.344000000001</v>
      </c>
      <c r="O24" s="54">
        <f t="shared" si="27"/>
        <v>831</v>
      </c>
      <c r="P24" s="54">
        <f t="shared" si="27"/>
        <v>2863.4522000000002</v>
      </c>
      <c r="Q24" s="54">
        <f t="shared" si="27"/>
        <v>1628.8968</v>
      </c>
      <c r="R24" s="54">
        <f t="shared" si="27"/>
        <v>12965.995000000001</v>
      </c>
      <c r="S24" s="54">
        <f t="shared" si="27"/>
        <v>0</v>
      </c>
      <c r="T24" s="54">
        <f t="shared" si="27"/>
        <v>0</v>
      </c>
      <c r="U24" s="54">
        <f t="shared" si="27"/>
        <v>0</v>
      </c>
      <c r="V24" s="54">
        <f t="shared" si="27"/>
        <v>0</v>
      </c>
      <c r="W24" s="54">
        <f t="shared" si="27"/>
        <v>0</v>
      </c>
      <c r="X24" s="54">
        <f t="shared" si="27"/>
        <v>0</v>
      </c>
      <c r="Y24" s="54">
        <f t="shared" si="27"/>
        <v>0</v>
      </c>
      <c r="Z24" s="54">
        <f t="shared" si="27"/>
        <v>0</v>
      </c>
      <c r="AA24" s="54">
        <f t="shared" si="27"/>
        <v>0</v>
      </c>
      <c r="AB24" s="55">
        <f t="shared" si="3"/>
        <v>1</v>
      </c>
      <c r="AC24" s="55">
        <f t="shared" si="9"/>
        <v>1</v>
      </c>
      <c r="AD24" s="55">
        <f t="shared" ref="AD24" si="28">+P24/K24</f>
        <v>1</v>
      </c>
      <c r="AE24" s="55">
        <f t="shared" ref="AE24" si="29">+Q24/L24</f>
        <v>1</v>
      </c>
      <c r="AF24" s="55">
        <f t="shared" si="26"/>
        <v>1</v>
      </c>
    </row>
    <row r="25" spans="1:32" s="39" customFormat="1" ht="19.2" customHeight="1">
      <c r="A25" s="40">
        <v>1</v>
      </c>
      <c r="B25" s="41" t="s">
        <v>2</v>
      </c>
      <c r="C25" s="42">
        <f t="shared" si="7"/>
        <v>14050.240000000002</v>
      </c>
      <c r="D25" s="42"/>
      <c r="E25" s="42"/>
      <c r="F25" s="42"/>
      <c r="G25" s="42"/>
      <c r="H25" s="42"/>
      <c r="I25" s="42">
        <f>SUM(J25:M25)</f>
        <v>14050.240000000002</v>
      </c>
      <c r="J25" s="42">
        <v>696</v>
      </c>
      <c r="K25" s="42">
        <v>2458.4522000000002</v>
      </c>
      <c r="L25" s="42">
        <v>444.7928</v>
      </c>
      <c r="M25" s="42">
        <v>10450.995000000001</v>
      </c>
      <c r="N25" s="42">
        <f>SUM(O25:R25)</f>
        <v>14050.240000000002</v>
      </c>
      <c r="O25" s="42">
        <v>696</v>
      </c>
      <c r="P25" s="42">
        <v>2458.4522000000002</v>
      </c>
      <c r="Q25" s="42">
        <v>444.7928</v>
      </c>
      <c r="R25" s="42">
        <v>10450.995000000001</v>
      </c>
      <c r="S25" s="42"/>
      <c r="T25" s="42"/>
      <c r="U25" s="42"/>
      <c r="V25" s="42"/>
      <c r="W25" s="42"/>
      <c r="X25" s="42"/>
      <c r="Y25" s="42"/>
      <c r="Z25" s="42"/>
      <c r="AA25" s="42"/>
      <c r="AB25" s="162">
        <f t="shared" si="3"/>
        <v>1</v>
      </c>
      <c r="AC25" s="162">
        <f t="shared" si="9"/>
        <v>1</v>
      </c>
      <c r="AD25" s="162">
        <f t="shared" si="9"/>
        <v>1</v>
      </c>
      <c r="AE25" s="162">
        <f t="shared" si="5"/>
        <v>1</v>
      </c>
      <c r="AF25" s="162">
        <f t="shared" ref="AF25:AF26" si="30">+R25/M25</f>
        <v>1</v>
      </c>
    </row>
    <row r="26" spans="1:32" s="39" customFormat="1" ht="19.2" customHeight="1">
      <c r="A26" s="40">
        <v>2</v>
      </c>
      <c r="B26" s="41" t="s">
        <v>0</v>
      </c>
      <c r="C26" s="42">
        <f t="shared" si="7"/>
        <v>4239.1040000000003</v>
      </c>
      <c r="D26" s="42"/>
      <c r="E26" s="42"/>
      <c r="F26" s="42"/>
      <c r="G26" s="42"/>
      <c r="H26" s="42"/>
      <c r="I26" s="42">
        <f>SUM(J26:M26)</f>
        <v>4239.1040000000003</v>
      </c>
      <c r="J26" s="42">
        <v>135</v>
      </c>
      <c r="K26" s="42">
        <v>405</v>
      </c>
      <c r="L26" s="42">
        <v>1184.104</v>
      </c>
      <c r="M26" s="42">
        <v>2515</v>
      </c>
      <c r="N26" s="42">
        <f>SUM(O26:R26)</f>
        <v>4239.1040000000003</v>
      </c>
      <c r="O26" s="42">
        <v>135</v>
      </c>
      <c r="P26" s="42">
        <v>405</v>
      </c>
      <c r="Q26" s="42">
        <v>1184.104</v>
      </c>
      <c r="R26" s="42">
        <v>2515</v>
      </c>
      <c r="S26" s="42"/>
      <c r="T26" s="42"/>
      <c r="U26" s="42"/>
      <c r="V26" s="42"/>
      <c r="W26" s="42"/>
      <c r="X26" s="42"/>
      <c r="Y26" s="42"/>
      <c r="Z26" s="42"/>
      <c r="AA26" s="42"/>
      <c r="AB26" s="162">
        <f t="shared" si="3"/>
        <v>1</v>
      </c>
      <c r="AC26" s="162">
        <f t="shared" si="9"/>
        <v>1</v>
      </c>
      <c r="AD26" s="162">
        <f t="shared" si="9"/>
        <v>1</v>
      </c>
      <c r="AE26" s="162">
        <f t="shared" si="5"/>
        <v>1</v>
      </c>
      <c r="AF26" s="162">
        <f t="shared" si="30"/>
        <v>1</v>
      </c>
    </row>
    <row r="27" spans="1:32" s="56" customFormat="1" ht="19.2" customHeight="1">
      <c r="A27" s="52" t="s">
        <v>14</v>
      </c>
      <c r="B27" s="53" t="s">
        <v>264</v>
      </c>
      <c r="C27" s="54">
        <f t="shared" si="7"/>
        <v>9865.348063999998</v>
      </c>
      <c r="D27" s="54"/>
      <c r="E27" s="54"/>
      <c r="F27" s="54"/>
      <c r="G27" s="54"/>
      <c r="H27" s="54"/>
      <c r="I27" s="54">
        <f>+I28+I29</f>
        <v>9865.348063999998</v>
      </c>
      <c r="J27" s="54">
        <f t="shared" ref="J27:AA27" si="31">+J28+J29</f>
        <v>2126</v>
      </c>
      <c r="K27" s="54">
        <f t="shared" si="31"/>
        <v>1772.9113952</v>
      </c>
      <c r="L27" s="54">
        <f t="shared" si="31"/>
        <v>2867.4066688000003</v>
      </c>
      <c r="M27" s="54">
        <f t="shared" si="31"/>
        <v>3099.0299999999997</v>
      </c>
      <c r="N27" s="54">
        <f t="shared" si="31"/>
        <v>9865.348063999998</v>
      </c>
      <c r="O27" s="54">
        <f t="shared" si="31"/>
        <v>2126</v>
      </c>
      <c r="P27" s="54">
        <f t="shared" si="31"/>
        <v>1772.9113952</v>
      </c>
      <c r="Q27" s="54">
        <f t="shared" si="31"/>
        <v>2867.4066688000003</v>
      </c>
      <c r="R27" s="54">
        <f t="shared" si="31"/>
        <v>3099.0299999999997</v>
      </c>
      <c r="S27" s="54">
        <f t="shared" si="31"/>
        <v>0</v>
      </c>
      <c r="T27" s="54">
        <f t="shared" si="31"/>
        <v>0</v>
      </c>
      <c r="U27" s="54">
        <f t="shared" si="31"/>
        <v>0</v>
      </c>
      <c r="V27" s="54">
        <f t="shared" si="31"/>
        <v>0</v>
      </c>
      <c r="W27" s="54">
        <f t="shared" si="31"/>
        <v>0</v>
      </c>
      <c r="X27" s="54">
        <f t="shared" si="31"/>
        <v>0</v>
      </c>
      <c r="Y27" s="54">
        <f t="shared" si="31"/>
        <v>0</v>
      </c>
      <c r="Z27" s="54">
        <f t="shared" si="31"/>
        <v>0</v>
      </c>
      <c r="AA27" s="54">
        <f t="shared" si="31"/>
        <v>0</v>
      </c>
      <c r="AB27" s="55">
        <f t="shared" si="3"/>
        <v>1</v>
      </c>
      <c r="AC27" s="244">
        <f t="shared" si="9"/>
        <v>1</v>
      </c>
      <c r="AD27" s="244">
        <f t="shared" si="9"/>
        <v>1</v>
      </c>
      <c r="AE27" s="244">
        <f t="shared" si="5"/>
        <v>1</v>
      </c>
      <c r="AF27" s="244">
        <f t="shared" si="5"/>
        <v>1</v>
      </c>
    </row>
    <row r="28" spans="1:32" s="39" customFormat="1" ht="19.2" customHeight="1">
      <c r="A28" s="40">
        <v>1</v>
      </c>
      <c r="B28" s="41" t="s">
        <v>2</v>
      </c>
      <c r="C28" s="42">
        <f t="shared" si="7"/>
        <v>4055.4480639999992</v>
      </c>
      <c r="D28" s="42"/>
      <c r="E28" s="42"/>
      <c r="F28" s="42"/>
      <c r="G28" s="42"/>
      <c r="H28" s="42"/>
      <c r="I28" s="42">
        <f>SUM(J28:M28)</f>
        <v>4055.4480639999992</v>
      </c>
      <c r="J28" s="42">
        <v>1646</v>
      </c>
      <c r="K28" s="42">
        <v>597.91139520000002</v>
      </c>
      <c r="L28" s="42">
        <v>1360.5066687999999</v>
      </c>
      <c r="M28" s="42">
        <v>451.03</v>
      </c>
      <c r="N28" s="42">
        <f>SUM(O28:R28)</f>
        <v>4055.4480639999992</v>
      </c>
      <c r="O28" s="42">
        <v>1646</v>
      </c>
      <c r="P28" s="42">
        <v>597.91139520000002</v>
      </c>
      <c r="Q28" s="42">
        <v>1360.5066687999999</v>
      </c>
      <c r="R28" s="42">
        <v>451.03</v>
      </c>
      <c r="S28" s="42"/>
      <c r="T28" s="42"/>
      <c r="U28" s="42"/>
      <c r="V28" s="42"/>
      <c r="W28" s="42"/>
      <c r="X28" s="42"/>
      <c r="Y28" s="42"/>
      <c r="Z28" s="42"/>
      <c r="AA28" s="42"/>
      <c r="AB28" s="162">
        <f t="shared" si="3"/>
        <v>1</v>
      </c>
      <c r="AC28" s="162">
        <f t="shared" si="9"/>
        <v>1</v>
      </c>
      <c r="AD28" s="162">
        <f t="shared" si="9"/>
        <v>1</v>
      </c>
      <c r="AE28" s="162">
        <f t="shared" si="5"/>
        <v>1</v>
      </c>
      <c r="AF28" s="162">
        <f t="shared" ref="AF28:AF29" si="32">+R28/M28</f>
        <v>1</v>
      </c>
    </row>
    <row r="29" spans="1:32" s="39" customFormat="1" ht="19.2" customHeight="1">
      <c r="A29" s="40">
        <v>2</v>
      </c>
      <c r="B29" s="41" t="s">
        <v>0</v>
      </c>
      <c r="C29" s="42">
        <f t="shared" si="7"/>
        <v>5809.9</v>
      </c>
      <c r="D29" s="42"/>
      <c r="E29" s="42"/>
      <c r="F29" s="42"/>
      <c r="G29" s="42"/>
      <c r="H29" s="42"/>
      <c r="I29" s="42">
        <f>SUM(J29:M29)</f>
        <v>5809.9</v>
      </c>
      <c r="J29" s="42">
        <v>480</v>
      </c>
      <c r="K29" s="42">
        <v>1175</v>
      </c>
      <c r="L29" s="42">
        <v>1506.9</v>
      </c>
      <c r="M29" s="42">
        <v>2648</v>
      </c>
      <c r="N29" s="42">
        <f>SUM(O29:R29)</f>
        <v>5809.9</v>
      </c>
      <c r="O29" s="42">
        <v>480</v>
      </c>
      <c r="P29" s="42">
        <v>1175</v>
      </c>
      <c r="Q29" s="42">
        <v>1506.9</v>
      </c>
      <c r="R29" s="42">
        <v>2648</v>
      </c>
      <c r="S29" s="42"/>
      <c r="T29" s="42"/>
      <c r="U29" s="42"/>
      <c r="V29" s="42"/>
      <c r="W29" s="42"/>
      <c r="X29" s="42"/>
      <c r="Y29" s="42"/>
      <c r="Z29" s="42"/>
      <c r="AA29" s="42"/>
      <c r="AB29" s="162">
        <f>+N29/I29</f>
        <v>1</v>
      </c>
      <c r="AC29" s="162">
        <f t="shared" si="9"/>
        <v>1</v>
      </c>
      <c r="AD29" s="162">
        <f t="shared" si="9"/>
        <v>1</v>
      </c>
      <c r="AE29" s="162">
        <f t="shared" si="5"/>
        <v>1</v>
      </c>
      <c r="AF29" s="162">
        <f t="shared" si="32"/>
        <v>1</v>
      </c>
    </row>
    <row r="30" spans="1:32" s="56" customFormat="1" ht="19.2" customHeight="1">
      <c r="A30" s="52" t="s">
        <v>14</v>
      </c>
      <c r="B30" s="53" t="s">
        <v>265</v>
      </c>
      <c r="C30" s="54">
        <f t="shared" si="7"/>
        <v>16905.524000000001</v>
      </c>
      <c r="D30" s="54"/>
      <c r="E30" s="54"/>
      <c r="F30" s="54"/>
      <c r="G30" s="54"/>
      <c r="H30" s="54"/>
      <c r="I30" s="54">
        <f>+I31+I32</f>
        <v>16905.524000000001</v>
      </c>
      <c r="J30" s="54">
        <f t="shared" ref="J30:AA30" si="33">+J31+J32</f>
        <v>13</v>
      </c>
      <c r="K30" s="54">
        <f t="shared" si="33"/>
        <v>1324.9771999999998</v>
      </c>
      <c r="L30" s="54">
        <f t="shared" si="33"/>
        <v>4276.5468000000001</v>
      </c>
      <c r="M30" s="54">
        <f t="shared" si="33"/>
        <v>11291</v>
      </c>
      <c r="N30" s="54">
        <f t="shared" si="33"/>
        <v>16905.524000000001</v>
      </c>
      <c r="O30" s="54">
        <f t="shared" si="33"/>
        <v>13</v>
      </c>
      <c r="P30" s="54">
        <f t="shared" si="33"/>
        <v>1324.9771999999998</v>
      </c>
      <c r="Q30" s="54">
        <f t="shared" si="33"/>
        <v>4276.5468000000001</v>
      </c>
      <c r="R30" s="54">
        <f t="shared" si="33"/>
        <v>11291</v>
      </c>
      <c r="S30" s="54">
        <f t="shared" si="33"/>
        <v>0</v>
      </c>
      <c r="T30" s="54">
        <f t="shared" si="33"/>
        <v>0</v>
      </c>
      <c r="U30" s="54">
        <f t="shared" si="33"/>
        <v>0</v>
      </c>
      <c r="V30" s="54">
        <f t="shared" si="33"/>
        <v>0</v>
      </c>
      <c r="W30" s="54">
        <f t="shared" si="33"/>
        <v>0</v>
      </c>
      <c r="X30" s="54">
        <f t="shared" si="33"/>
        <v>0</v>
      </c>
      <c r="Y30" s="54">
        <f t="shared" si="33"/>
        <v>0</v>
      </c>
      <c r="Z30" s="54">
        <f t="shared" si="33"/>
        <v>0</v>
      </c>
      <c r="AA30" s="54">
        <f t="shared" si="33"/>
        <v>0</v>
      </c>
      <c r="AB30" s="55">
        <f t="shared" si="3"/>
        <v>1</v>
      </c>
      <c r="AC30" s="244">
        <f>+O30/J30</f>
        <v>1</v>
      </c>
      <c r="AD30" s="244">
        <f t="shared" si="9"/>
        <v>1</v>
      </c>
      <c r="AE30" s="244">
        <f t="shared" si="5"/>
        <v>1</v>
      </c>
      <c r="AF30" s="244">
        <f t="shared" si="5"/>
        <v>1</v>
      </c>
    </row>
    <row r="31" spans="1:32" s="39" customFormat="1" ht="19.2" customHeight="1">
      <c r="A31" s="40">
        <v>1</v>
      </c>
      <c r="B31" s="41" t="s">
        <v>2</v>
      </c>
      <c r="C31" s="42">
        <f t="shared" si="7"/>
        <v>9089.2960000000003</v>
      </c>
      <c r="D31" s="42"/>
      <c r="E31" s="42"/>
      <c r="F31" s="42"/>
      <c r="G31" s="42"/>
      <c r="H31" s="42"/>
      <c r="I31" s="42">
        <f>SUM(J31:M31)</f>
        <v>9089.2960000000003</v>
      </c>
      <c r="J31" s="42"/>
      <c r="K31" s="42">
        <v>424.97719999999993</v>
      </c>
      <c r="L31" s="42">
        <v>2544.3188</v>
      </c>
      <c r="M31" s="42">
        <v>6120</v>
      </c>
      <c r="N31" s="42">
        <f>SUM(O31:R31)</f>
        <v>9089.2960000000003</v>
      </c>
      <c r="O31" s="42">
        <v>0</v>
      </c>
      <c r="P31" s="42">
        <v>424.97719999999993</v>
      </c>
      <c r="Q31" s="42">
        <v>2544.3188</v>
      </c>
      <c r="R31" s="42">
        <v>6120</v>
      </c>
      <c r="S31" s="42"/>
      <c r="T31" s="42"/>
      <c r="U31" s="42"/>
      <c r="V31" s="42"/>
      <c r="W31" s="42"/>
      <c r="X31" s="42"/>
      <c r="Y31" s="42"/>
      <c r="Z31" s="42"/>
      <c r="AA31" s="42"/>
      <c r="AB31" s="162">
        <f t="shared" si="3"/>
        <v>1</v>
      </c>
      <c r="AC31" s="162"/>
      <c r="AD31" s="162">
        <f t="shared" si="9"/>
        <v>1</v>
      </c>
      <c r="AE31" s="162">
        <f t="shared" si="5"/>
        <v>1</v>
      </c>
      <c r="AF31" s="162">
        <f t="shared" ref="AF31:AF33" si="34">+R31/M31</f>
        <v>1</v>
      </c>
    </row>
    <row r="32" spans="1:32" s="39" customFormat="1" ht="19.2" customHeight="1">
      <c r="A32" s="40">
        <v>2</v>
      </c>
      <c r="B32" s="41" t="s">
        <v>0</v>
      </c>
      <c r="C32" s="42">
        <f t="shared" si="7"/>
        <v>7816.2280000000001</v>
      </c>
      <c r="D32" s="42"/>
      <c r="E32" s="42"/>
      <c r="F32" s="42"/>
      <c r="G32" s="42"/>
      <c r="H32" s="42"/>
      <c r="I32" s="42">
        <f>SUM(J32:M32)</f>
        <v>7816.2280000000001</v>
      </c>
      <c r="J32" s="42">
        <v>13</v>
      </c>
      <c r="K32" s="42">
        <v>900</v>
      </c>
      <c r="L32" s="42">
        <v>1732.2280000000001</v>
      </c>
      <c r="M32" s="42">
        <v>5171</v>
      </c>
      <c r="N32" s="42">
        <f>SUM(O32:R32)</f>
        <v>7816.2280000000001</v>
      </c>
      <c r="O32" s="42">
        <v>13</v>
      </c>
      <c r="P32" s="42">
        <v>900</v>
      </c>
      <c r="Q32" s="42">
        <v>1732.2280000000001</v>
      </c>
      <c r="R32" s="42">
        <v>5171</v>
      </c>
      <c r="S32" s="42"/>
      <c r="T32" s="42"/>
      <c r="U32" s="42"/>
      <c r="V32" s="42"/>
      <c r="W32" s="42"/>
      <c r="X32" s="42"/>
      <c r="Y32" s="42"/>
      <c r="Z32" s="42"/>
      <c r="AA32" s="42"/>
      <c r="AB32" s="162">
        <f t="shared" si="3"/>
        <v>1</v>
      </c>
      <c r="AC32" s="162">
        <f t="shared" ref="AC32:AC33" si="35">+O32/J32</f>
        <v>1</v>
      </c>
      <c r="AD32" s="162">
        <f t="shared" si="9"/>
        <v>1</v>
      </c>
      <c r="AE32" s="162">
        <f t="shared" si="5"/>
        <v>1</v>
      </c>
      <c r="AF32" s="162">
        <f t="shared" si="34"/>
        <v>1</v>
      </c>
    </row>
    <row r="33" spans="1:32" s="56" customFormat="1" ht="19.2" customHeight="1">
      <c r="A33" s="52" t="s">
        <v>14</v>
      </c>
      <c r="B33" s="53" t="s">
        <v>266</v>
      </c>
      <c r="C33" s="54">
        <f t="shared" si="7"/>
        <v>7266.24</v>
      </c>
      <c r="D33" s="54"/>
      <c r="E33" s="54"/>
      <c r="F33" s="54"/>
      <c r="G33" s="54"/>
      <c r="H33" s="54"/>
      <c r="I33" s="54">
        <f>+I34+I35</f>
        <v>7266.24</v>
      </c>
      <c r="J33" s="54">
        <f t="shared" ref="J33:AA33" si="36">+J34+J35</f>
        <v>880</v>
      </c>
      <c r="K33" s="54">
        <f t="shared" si="36"/>
        <v>1333</v>
      </c>
      <c r="L33" s="54">
        <f t="shared" si="36"/>
        <v>2149.19</v>
      </c>
      <c r="M33" s="54">
        <f t="shared" si="36"/>
        <v>2904.05</v>
      </c>
      <c r="N33" s="54">
        <f t="shared" si="36"/>
        <v>7101.24</v>
      </c>
      <c r="O33" s="54">
        <f t="shared" si="36"/>
        <v>715</v>
      </c>
      <c r="P33" s="54">
        <f t="shared" si="36"/>
        <v>1333</v>
      </c>
      <c r="Q33" s="54">
        <f t="shared" si="36"/>
        <v>2149.19</v>
      </c>
      <c r="R33" s="54">
        <f t="shared" si="36"/>
        <v>2904.05</v>
      </c>
      <c r="S33" s="54">
        <f t="shared" si="36"/>
        <v>0</v>
      </c>
      <c r="T33" s="54">
        <f t="shared" si="36"/>
        <v>0</v>
      </c>
      <c r="U33" s="54">
        <f t="shared" si="36"/>
        <v>0</v>
      </c>
      <c r="V33" s="54">
        <f t="shared" si="36"/>
        <v>0</v>
      </c>
      <c r="W33" s="54">
        <f t="shared" si="36"/>
        <v>165</v>
      </c>
      <c r="X33" s="54">
        <f>+X34+X35</f>
        <v>165</v>
      </c>
      <c r="Y33" s="54">
        <f t="shared" si="36"/>
        <v>0</v>
      </c>
      <c r="Z33" s="54">
        <f t="shared" si="36"/>
        <v>0</v>
      </c>
      <c r="AA33" s="54">
        <f t="shared" si="36"/>
        <v>0</v>
      </c>
      <c r="AB33" s="55">
        <f t="shared" si="3"/>
        <v>0.97729224468225662</v>
      </c>
      <c r="AC33" s="55">
        <f t="shared" si="35"/>
        <v>0.8125</v>
      </c>
      <c r="AD33" s="55">
        <f t="shared" si="9"/>
        <v>1</v>
      </c>
      <c r="AE33" s="55">
        <f t="shared" si="5"/>
        <v>1</v>
      </c>
      <c r="AF33" s="55">
        <f t="shared" si="34"/>
        <v>1</v>
      </c>
    </row>
    <row r="34" spans="1:32" s="39" customFormat="1" ht="19.2" customHeight="1">
      <c r="A34" s="40">
        <v>1</v>
      </c>
      <c r="B34" s="41" t="s">
        <v>2</v>
      </c>
      <c r="C34" s="42">
        <f t="shared" si="7"/>
        <v>3228.3</v>
      </c>
      <c r="D34" s="42"/>
      <c r="E34" s="42"/>
      <c r="F34" s="42"/>
      <c r="G34" s="42"/>
      <c r="H34" s="42"/>
      <c r="I34" s="42">
        <f>SUM(J34:M34)</f>
        <v>3228.3</v>
      </c>
      <c r="J34" s="42">
        <v>690</v>
      </c>
      <c r="K34" s="42">
        <v>0</v>
      </c>
      <c r="L34" s="42">
        <v>1103.25</v>
      </c>
      <c r="M34" s="42">
        <v>1435.05</v>
      </c>
      <c r="N34" s="42">
        <f>SUM(O34:R34)</f>
        <v>3228.3</v>
      </c>
      <c r="O34" s="42">
        <v>690</v>
      </c>
      <c r="P34" s="42">
        <v>0</v>
      </c>
      <c r="Q34" s="42">
        <v>1103.25</v>
      </c>
      <c r="R34" s="42">
        <v>1435.05</v>
      </c>
      <c r="S34" s="42"/>
      <c r="T34" s="42"/>
      <c r="U34" s="42"/>
      <c r="V34" s="42"/>
      <c r="W34" s="42"/>
      <c r="X34" s="42"/>
      <c r="Y34" s="42"/>
      <c r="Z34" s="42"/>
      <c r="AA34" s="42"/>
      <c r="AB34" s="162">
        <f t="shared" si="3"/>
        <v>1</v>
      </c>
      <c r="AC34" s="162">
        <f t="shared" si="9"/>
        <v>1</v>
      </c>
      <c r="AD34" s="162"/>
      <c r="AE34" s="162">
        <f t="shared" si="5"/>
        <v>1</v>
      </c>
      <c r="AF34" s="162">
        <f t="shared" ref="AF34:AF35" si="37">+R34/M34</f>
        <v>1</v>
      </c>
    </row>
    <row r="35" spans="1:32" s="39" customFormat="1" ht="19.2" customHeight="1">
      <c r="A35" s="40">
        <v>2</v>
      </c>
      <c r="B35" s="41" t="s">
        <v>0</v>
      </c>
      <c r="C35" s="42">
        <f t="shared" si="7"/>
        <v>4037.94</v>
      </c>
      <c r="D35" s="42"/>
      <c r="E35" s="42"/>
      <c r="F35" s="42"/>
      <c r="G35" s="42"/>
      <c r="H35" s="42"/>
      <c r="I35" s="42">
        <f>SUM(J35:M35)</f>
        <v>4037.94</v>
      </c>
      <c r="J35" s="42">
        <v>190</v>
      </c>
      <c r="K35" s="42">
        <v>1333</v>
      </c>
      <c r="L35" s="42">
        <v>1045.94</v>
      </c>
      <c r="M35" s="42">
        <v>1469</v>
      </c>
      <c r="N35" s="42">
        <f>SUM(O35:R35)</f>
        <v>3872.94</v>
      </c>
      <c r="O35" s="42">
        <v>25</v>
      </c>
      <c r="P35" s="42">
        <v>1333</v>
      </c>
      <c r="Q35" s="42">
        <v>1045.94</v>
      </c>
      <c r="R35" s="42">
        <v>1469</v>
      </c>
      <c r="S35" s="42"/>
      <c r="T35" s="42"/>
      <c r="U35" s="42"/>
      <c r="V35" s="42"/>
      <c r="W35" s="42">
        <f>SUM(X35:AA35)</f>
        <v>165</v>
      </c>
      <c r="X35" s="42">
        <f>+J35-O35</f>
        <v>165</v>
      </c>
      <c r="Y35" s="42">
        <f t="shared" ref="Y35:Z35" si="38">+K35-P35</f>
        <v>0</v>
      </c>
      <c r="Z35" s="42">
        <f t="shared" si="38"/>
        <v>0</v>
      </c>
      <c r="AA35" s="42">
        <f>+M35-R35</f>
        <v>0</v>
      </c>
      <c r="AB35" s="162">
        <f t="shared" si="3"/>
        <v>0.95913758005319549</v>
      </c>
      <c r="AC35" s="162">
        <f t="shared" si="9"/>
        <v>0.13157894736842105</v>
      </c>
      <c r="AD35" s="162">
        <f t="shared" si="9"/>
        <v>1</v>
      </c>
      <c r="AE35" s="162">
        <f t="shared" si="5"/>
        <v>1</v>
      </c>
      <c r="AF35" s="162">
        <f t="shared" si="37"/>
        <v>1</v>
      </c>
    </row>
    <row r="36" spans="1:32" s="19" customFormat="1" ht="15.6">
      <c r="A36" s="21"/>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32" s="4" customFormat="1" ht="15.6">
      <c r="A37" s="6"/>
      <c r="B37" s="5"/>
      <c r="C37" s="5"/>
      <c r="D37" s="5"/>
      <c r="E37" s="5"/>
      <c r="F37" s="5"/>
      <c r="G37" s="5"/>
      <c r="H37" s="5"/>
      <c r="I37" s="5"/>
      <c r="J37" s="5"/>
      <c r="K37" s="5"/>
      <c r="L37" s="5"/>
      <c r="M37" s="5"/>
      <c r="N37" s="5"/>
      <c r="O37" s="5"/>
      <c r="P37" s="5"/>
      <c r="Q37" s="5"/>
      <c r="R37" s="5"/>
      <c r="S37" s="5"/>
      <c r="T37" s="5"/>
      <c r="U37" s="5"/>
      <c r="V37" s="5"/>
      <c r="W37" s="5"/>
      <c r="X37" s="5"/>
      <c r="Y37" s="5"/>
      <c r="Z37" s="46"/>
    </row>
    <row r="38" spans="1:32" s="4" customFormat="1" ht="15.6">
      <c r="A38" s="6"/>
      <c r="B38" s="5"/>
      <c r="C38" s="5"/>
      <c r="D38" s="5"/>
      <c r="E38" s="5"/>
      <c r="F38" s="5"/>
      <c r="G38" s="5"/>
      <c r="H38" s="5"/>
      <c r="I38" s="5"/>
      <c r="J38" s="5"/>
      <c r="K38" s="5"/>
      <c r="L38" s="5"/>
      <c r="M38" s="5"/>
      <c r="N38" s="5"/>
      <c r="O38" s="5"/>
      <c r="P38" s="5"/>
      <c r="Q38" s="5"/>
      <c r="R38" s="5"/>
      <c r="S38" s="5"/>
      <c r="T38" s="5"/>
      <c r="U38" s="5"/>
      <c r="V38" s="5"/>
      <c r="W38" s="5"/>
      <c r="X38" s="5"/>
      <c r="Y38" s="5"/>
      <c r="Z38" s="361"/>
      <c r="AA38" s="361"/>
      <c r="AB38" s="361"/>
      <c r="AC38" s="361"/>
      <c r="AD38" s="361"/>
    </row>
    <row r="39" spans="1:32" s="4" customFormat="1" ht="15.75" customHeight="1">
      <c r="A39" s="6"/>
      <c r="B39" s="5"/>
      <c r="C39" s="5"/>
      <c r="D39" s="5"/>
      <c r="E39" s="5"/>
      <c r="F39" s="5"/>
      <c r="G39" s="5"/>
      <c r="H39" s="5"/>
      <c r="I39" s="5"/>
      <c r="J39" s="5"/>
      <c r="K39" s="5"/>
      <c r="L39" s="5"/>
      <c r="M39" s="5"/>
      <c r="N39" s="5"/>
      <c r="O39" s="5"/>
      <c r="P39" s="5"/>
      <c r="Q39" s="5"/>
      <c r="R39" s="5"/>
      <c r="S39" s="5"/>
      <c r="T39" s="5"/>
      <c r="U39" s="5"/>
      <c r="V39" s="5"/>
      <c r="W39" s="5"/>
      <c r="X39" s="5"/>
      <c r="Y39" s="5"/>
      <c r="Z39" s="5"/>
    </row>
    <row r="40" spans="1:32" s="4" customFormat="1" ht="15.75" customHeight="1">
      <c r="A40" s="6"/>
      <c r="B40" s="5"/>
      <c r="C40" s="5"/>
      <c r="D40" s="5"/>
      <c r="E40" s="5"/>
      <c r="F40" s="5"/>
      <c r="G40" s="5"/>
      <c r="H40" s="5"/>
      <c r="I40" s="5"/>
      <c r="J40" s="5"/>
      <c r="K40" s="5"/>
      <c r="L40" s="5"/>
      <c r="M40" s="5"/>
      <c r="N40" s="5"/>
      <c r="O40" s="5"/>
      <c r="P40" s="5"/>
      <c r="Q40" s="5"/>
      <c r="R40" s="5"/>
      <c r="S40" s="5"/>
      <c r="T40" s="5"/>
      <c r="U40" s="5"/>
      <c r="V40" s="5"/>
      <c r="W40" s="5"/>
      <c r="X40" s="5"/>
      <c r="Y40" s="5"/>
      <c r="Z40" s="5"/>
    </row>
    <row r="41" spans="1:32" s="4" customFormat="1" ht="15.6">
      <c r="A41" s="6"/>
      <c r="B41" s="5"/>
      <c r="C41" s="5"/>
      <c r="D41" s="5"/>
      <c r="E41" s="5"/>
      <c r="F41" s="5"/>
      <c r="G41" s="5"/>
      <c r="H41" s="5"/>
      <c r="I41" s="5"/>
      <c r="J41" s="5"/>
      <c r="K41" s="5"/>
      <c r="L41" s="5"/>
      <c r="M41" s="5"/>
      <c r="N41" s="5"/>
      <c r="O41" s="5"/>
      <c r="P41" s="5"/>
      <c r="Q41" s="5"/>
      <c r="R41" s="5"/>
      <c r="S41" s="5"/>
      <c r="T41" s="5"/>
      <c r="U41" s="5"/>
      <c r="V41" s="5"/>
      <c r="W41" s="5"/>
      <c r="X41" s="5"/>
      <c r="Y41" s="5"/>
      <c r="Z41" s="5"/>
    </row>
  </sheetData>
  <mergeCells count="13">
    <mergeCell ref="Z38:AD38"/>
    <mergeCell ref="S5:V6"/>
    <mergeCell ref="B3:AF3"/>
    <mergeCell ref="AB5:AF6"/>
    <mergeCell ref="AB4:AF4"/>
    <mergeCell ref="A5:A7"/>
    <mergeCell ref="B5:B7"/>
    <mergeCell ref="C5:M5"/>
    <mergeCell ref="N5:R6"/>
    <mergeCell ref="W5:AA6"/>
    <mergeCell ref="C6:C7"/>
    <mergeCell ref="D6:H6"/>
    <mergeCell ref="I6:M6"/>
  </mergeCells>
  <pageMargins left="0" right="0" top="0.43" bottom="0.47" header="0.25" footer="0.2"/>
  <pageSetup paperSize="9" scale="70" orientation="landscape" verticalDpi="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5"/>
  <sheetViews>
    <sheetView workbookViewId="0">
      <selection activeCell="H11" sqref="H11"/>
    </sheetView>
  </sheetViews>
  <sheetFormatPr defaultColWidth="8" defaultRowHeight="15.6"/>
  <cols>
    <col min="1" max="1" width="3.59765625" style="315" customWidth="1"/>
    <col min="2" max="2" width="16.796875" style="301" customWidth="1"/>
    <col min="3" max="3" width="5.8984375" style="301" customWidth="1"/>
    <col min="4" max="4" width="9.796875" style="312" customWidth="1"/>
    <col min="5" max="5" width="11.59765625" style="301" customWidth="1"/>
    <col min="6" max="6" width="5.8984375" style="313" bestFit="1" customWidth="1"/>
    <col min="7" max="7" width="7.296875" style="313" bestFit="1" customWidth="1"/>
    <col min="8" max="8" width="4.09765625" style="313" bestFit="1" customWidth="1"/>
    <col min="9" max="9" width="5.5" style="313" customWidth="1"/>
    <col min="10" max="11" width="10.8984375" style="313" customWidth="1"/>
    <col min="12" max="13" width="11.69921875" style="313" customWidth="1"/>
    <col min="14" max="14" width="5.5" style="313" customWidth="1"/>
    <col min="15" max="15" width="7.8984375" style="313" customWidth="1"/>
    <col min="16" max="16" width="8.8984375" style="314" customWidth="1"/>
    <col min="17" max="17" width="11.69921875" style="313" bestFit="1" customWidth="1"/>
    <col min="18" max="19" width="10.8984375" style="313" bestFit="1" customWidth="1"/>
    <col min="20" max="20" width="9.69921875" style="313" bestFit="1" customWidth="1"/>
    <col min="21" max="22" width="5.3984375" style="301" customWidth="1"/>
    <col min="23" max="23" width="9.69921875" style="301" bestFit="1" customWidth="1"/>
    <col min="24" max="24" width="10.8984375" style="301" bestFit="1" customWidth="1"/>
    <col min="25" max="25" width="11.59765625" style="301" bestFit="1" customWidth="1"/>
    <col min="26" max="26" width="6.59765625" style="301" customWidth="1"/>
    <col min="27" max="27" width="7.5" style="301" bestFit="1" customWidth="1"/>
    <col min="28" max="16384" width="8" style="301"/>
  </cols>
  <sheetData>
    <row r="1" spans="1:27">
      <c r="A1" s="291" t="s">
        <v>570</v>
      </c>
      <c r="B1" s="311"/>
    </row>
    <row r="2" spans="1:27">
      <c r="A2" s="295" t="s">
        <v>568</v>
      </c>
      <c r="B2" s="306"/>
    </row>
    <row r="3" spans="1:27" ht="16.2">
      <c r="B3" s="299"/>
      <c r="E3" s="299"/>
      <c r="Y3" s="465" t="s">
        <v>241</v>
      </c>
      <c r="Z3" s="465"/>
    </row>
    <row r="4" spans="1:27" ht="16.8">
      <c r="A4" s="466" t="s">
        <v>573</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row>
    <row r="5" spans="1:27" ht="18">
      <c r="A5" s="316"/>
      <c r="B5" s="316"/>
      <c r="C5" s="316"/>
      <c r="D5" s="317"/>
      <c r="E5" s="316"/>
      <c r="F5" s="318"/>
      <c r="G5" s="318"/>
      <c r="H5" s="318"/>
      <c r="I5" s="318"/>
      <c r="J5" s="318"/>
      <c r="K5" s="318"/>
      <c r="L5" s="318"/>
      <c r="M5" s="318"/>
      <c r="N5" s="318"/>
      <c r="O5" s="318"/>
      <c r="P5" s="319"/>
      <c r="Q5" s="318"/>
      <c r="R5" s="318"/>
      <c r="S5" s="318"/>
      <c r="T5" s="318"/>
      <c r="U5" s="316"/>
      <c r="V5" s="316"/>
      <c r="W5" s="316"/>
      <c r="X5" s="316"/>
      <c r="Y5" s="316"/>
      <c r="Z5" s="316"/>
      <c r="AA5" s="316"/>
    </row>
    <row r="6" spans="1:27" ht="67.8" customHeight="1">
      <c r="A6" s="467" t="s">
        <v>9</v>
      </c>
      <c r="B6" s="470" t="s">
        <v>156</v>
      </c>
      <c r="C6" s="480" t="s">
        <v>152</v>
      </c>
      <c r="D6" s="481"/>
      <c r="E6" s="481"/>
      <c r="F6" s="481"/>
      <c r="G6" s="481"/>
      <c r="H6" s="481"/>
      <c r="I6" s="481"/>
      <c r="J6" s="481"/>
      <c r="K6" s="481"/>
      <c r="L6" s="481"/>
      <c r="M6" s="481"/>
      <c r="N6" s="482"/>
      <c r="O6" s="453" t="s">
        <v>153</v>
      </c>
      <c r="P6" s="454"/>
      <c r="Q6" s="455" t="s">
        <v>154</v>
      </c>
      <c r="R6" s="455"/>
      <c r="S6" s="455"/>
      <c r="T6" s="455"/>
      <c r="U6" s="455"/>
      <c r="V6" s="455"/>
      <c r="W6" s="455"/>
      <c r="X6" s="455"/>
      <c r="Y6" s="455"/>
      <c r="Z6" s="455"/>
      <c r="AA6" s="470" t="s">
        <v>24</v>
      </c>
    </row>
    <row r="7" spans="1:27" ht="30" customHeight="1">
      <c r="A7" s="468"/>
      <c r="B7" s="471"/>
      <c r="C7" s="473" t="s">
        <v>140</v>
      </c>
      <c r="D7" s="476" t="s">
        <v>151</v>
      </c>
      <c r="E7" s="463" t="s">
        <v>141</v>
      </c>
      <c r="F7" s="483" t="s">
        <v>142</v>
      </c>
      <c r="G7" s="484"/>
      <c r="H7" s="484"/>
      <c r="I7" s="484"/>
      <c r="J7" s="484"/>
      <c r="K7" s="484"/>
      <c r="L7" s="484"/>
      <c r="M7" s="484"/>
      <c r="N7" s="485"/>
      <c r="O7" s="456" t="s">
        <v>140</v>
      </c>
      <c r="P7" s="450" t="s">
        <v>151</v>
      </c>
      <c r="Q7" s="456" t="s">
        <v>141</v>
      </c>
      <c r="R7" s="459" t="s">
        <v>142</v>
      </c>
      <c r="S7" s="460"/>
      <c r="T7" s="460"/>
      <c r="U7" s="460"/>
      <c r="V7" s="460"/>
      <c r="W7" s="460"/>
      <c r="X7" s="460"/>
      <c r="Y7" s="460"/>
      <c r="Z7" s="461"/>
      <c r="AA7" s="471"/>
    </row>
    <row r="8" spans="1:27" s="320" customFormat="1" ht="51" customHeight="1">
      <c r="A8" s="468"/>
      <c r="B8" s="471"/>
      <c r="C8" s="474"/>
      <c r="D8" s="477"/>
      <c r="E8" s="479"/>
      <c r="F8" s="488" t="s">
        <v>143</v>
      </c>
      <c r="G8" s="488"/>
      <c r="H8" s="488"/>
      <c r="I8" s="488" t="s">
        <v>146</v>
      </c>
      <c r="J8" s="488"/>
      <c r="K8" s="488"/>
      <c r="L8" s="488"/>
      <c r="M8" s="486" t="s">
        <v>147</v>
      </c>
      <c r="N8" s="486" t="s">
        <v>148</v>
      </c>
      <c r="O8" s="457"/>
      <c r="P8" s="451"/>
      <c r="Q8" s="457"/>
      <c r="R8" s="462" t="s">
        <v>143</v>
      </c>
      <c r="S8" s="462"/>
      <c r="T8" s="462"/>
      <c r="U8" s="462" t="s">
        <v>146</v>
      </c>
      <c r="V8" s="462"/>
      <c r="W8" s="462"/>
      <c r="X8" s="462"/>
      <c r="Y8" s="463" t="s">
        <v>147</v>
      </c>
      <c r="Z8" s="463" t="s">
        <v>148</v>
      </c>
      <c r="AA8" s="471"/>
    </row>
    <row r="9" spans="1:27" s="320" customFormat="1" ht="22.5" customHeight="1">
      <c r="A9" s="469"/>
      <c r="B9" s="472"/>
      <c r="C9" s="475"/>
      <c r="D9" s="478"/>
      <c r="E9" s="464"/>
      <c r="F9" s="321" t="s">
        <v>144</v>
      </c>
      <c r="G9" s="321" t="s">
        <v>145</v>
      </c>
      <c r="H9" s="321" t="s">
        <v>150</v>
      </c>
      <c r="I9" s="321" t="s">
        <v>149</v>
      </c>
      <c r="J9" s="321" t="s">
        <v>144</v>
      </c>
      <c r="K9" s="321" t="s">
        <v>145</v>
      </c>
      <c r="L9" s="321" t="s">
        <v>150</v>
      </c>
      <c r="M9" s="487"/>
      <c r="N9" s="487"/>
      <c r="O9" s="458"/>
      <c r="P9" s="452"/>
      <c r="Q9" s="458"/>
      <c r="R9" s="321" t="s">
        <v>144</v>
      </c>
      <c r="S9" s="321" t="s">
        <v>145</v>
      </c>
      <c r="T9" s="321" t="s">
        <v>150</v>
      </c>
      <c r="U9" s="322" t="s">
        <v>149</v>
      </c>
      <c r="V9" s="322" t="s">
        <v>144</v>
      </c>
      <c r="W9" s="322" t="s">
        <v>145</v>
      </c>
      <c r="X9" s="322" t="s">
        <v>150</v>
      </c>
      <c r="Y9" s="464"/>
      <c r="Z9" s="464"/>
      <c r="AA9" s="472"/>
    </row>
    <row r="10" spans="1:27" s="320" customFormat="1">
      <c r="A10" s="322"/>
      <c r="B10" s="322">
        <v>1</v>
      </c>
      <c r="C10" s="322"/>
      <c r="D10" s="323"/>
      <c r="E10" s="322"/>
      <c r="F10" s="321"/>
      <c r="G10" s="321"/>
      <c r="H10" s="321"/>
      <c r="I10" s="321"/>
      <c r="J10" s="321"/>
      <c r="K10" s="321"/>
      <c r="L10" s="321"/>
      <c r="M10" s="321"/>
      <c r="N10" s="321"/>
      <c r="O10" s="321"/>
      <c r="P10" s="324"/>
      <c r="Q10" s="321"/>
      <c r="R10" s="321"/>
      <c r="S10" s="321"/>
      <c r="T10" s="321"/>
      <c r="U10" s="322"/>
      <c r="V10" s="322"/>
      <c r="W10" s="322"/>
      <c r="X10" s="322"/>
      <c r="Y10" s="322"/>
      <c r="Z10" s="322"/>
      <c r="AA10" s="325"/>
    </row>
    <row r="11" spans="1:27">
      <c r="A11" s="326"/>
      <c r="B11" s="326" t="s">
        <v>139</v>
      </c>
      <c r="C11" s="326"/>
      <c r="D11" s="327"/>
      <c r="E11" s="328">
        <f>+E13</f>
        <v>46359282000</v>
      </c>
      <c r="F11" s="328">
        <f t="shared" ref="F11:Z11" si="0">+F13</f>
        <v>0</v>
      </c>
      <c r="G11" s="328">
        <f t="shared" si="0"/>
        <v>0</v>
      </c>
      <c r="H11" s="328">
        <f t="shared" si="0"/>
        <v>0</v>
      </c>
      <c r="I11" s="328">
        <f t="shared" si="0"/>
        <v>0</v>
      </c>
      <c r="J11" s="328">
        <f t="shared" si="0"/>
        <v>1538716000</v>
      </c>
      <c r="K11" s="328">
        <f t="shared" si="0"/>
        <v>2873620000</v>
      </c>
      <c r="L11" s="329">
        <f t="shared" si="0"/>
        <v>27351846000</v>
      </c>
      <c r="M11" s="328">
        <f t="shared" si="0"/>
        <v>14595100000</v>
      </c>
      <c r="N11" s="328">
        <f t="shared" si="0"/>
        <v>0</v>
      </c>
      <c r="O11" s="330">
        <f t="shared" si="0"/>
        <v>0</v>
      </c>
      <c r="P11" s="330"/>
      <c r="Q11" s="330">
        <f t="shared" si="0"/>
        <v>29667108107</v>
      </c>
      <c r="R11" s="330">
        <f>+R13</f>
        <v>3250000000</v>
      </c>
      <c r="S11" s="330">
        <f t="shared" si="0"/>
        <v>1000000000</v>
      </c>
      <c r="T11" s="331">
        <f t="shared" si="0"/>
        <v>600000000</v>
      </c>
      <c r="U11" s="330">
        <f t="shared" si="0"/>
        <v>0</v>
      </c>
      <c r="V11" s="330">
        <f t="shared" si="0"/>
        <v>0</v>
      </c>
      <c r="W11" s="330">
        <f t="shared" si="0"/>
        <v>581868000</v>
      </c>
      <c r="X11" s="330">
        <f t="shared" si="0"/>
        <v>8535240107</v>
      </c>
      <c r="Y11" s="330">
        <f t="shared" si="0"/>
        <v>15700000000</v>
      </c>
      <c r="Z11" s="330">
        <f t="shared" si="0"/>
        <v>0</v>
      </c>
      <c r="AA11" s="287"/>
    </row>
    <row r="12" spans="1:27">
      <c r="A12" s="326"/>
      <c r="B12" s="326" t="s">
        <v>28</v>
      </c>
      <c r="C12" s="326"/>
      <c r="D12" s="327"/>
      <c r="E12" s="332"/>
      <c r="F12" s="329"/>
      <c r="G12" s="329"/>
      <c r="H12" s="329"/>
      <c r="I12" s="329"/>
      <c r="J12" s="329"/>
      <c r="K12" s="329"/>
      <c r="L12" s="329"/>
      <c r="M12" s="329"/>
      <c r="N12" s="329"/>
      <c r="O12" s="331"/>
      <c r="P12" s="333"/>
      <c r="Q12" s="331"/>
      <c r="R12" s="331"/>
      <c r="S12" s="331"/>
      <c r="T12" s="331"/>
      <c r="U12" s="334"/>
      <c r="V12" s="334"/>
      <c r="W12" s="334"/>
      <c r="X12" s="334"/>
      <c r="Y12" s="334"/>
      <c r="Z12" s="334"/>
      <c r="AA12" s="326"/>
    </row>
    <row r="13" spans="1:27">
      <c r="A13" s="335">
        <v>1</v>
      </c>
      <c r="B13" s="336" t="s">
        <v>259</v>
      </c>
      <c r="C13" s="336"/>
      <c r="D13" s="337"/>
      <c r="E13" s="338">
        <f>SUM(E14:E24)</f>
        <v>46359282000</v>
      </c>
      <c r="F13" s="338">
        <f t="shared" ref="F13:W13" si="1">SUM(F14:F24)</f>
        <v>0</v>
      </c>
      <c r="G13" s="338">
        <f t="shared" si="1"/>
        <v>0</v>
      </c>
      <c r="H13" s="338">
        <f t="shared" si="1"/>
        <v>0</v>
      </c>
      <c r="I13" s="338">
        <f t="shared" si="1"/>
        <v>0</v>
      </c>
      <c r="J13" s="338">
        <f t="shared" si="1"/>
        <v>1538716000</v>
      </c>
      <c r="K13" s="338">
        <f t="shared" si="1"/>
        <v>2873620000</v>
      </c>
      <c r="L13" s="339">
        <f t="shared" si="1"/>
        <v>27351846000</v>
      </c>
      <c r="M13" s="338">
        <f t="shared" si="1"/>
        <v>14595100000</v>
      </c>
      <c r="N13" s="338">
        <f t="shared" si="1"/>
        <v>0</v>
      </c>
      <c r="O13" s="340">
        <f t="shared" si="1"/>
        <v>0</v>
      </c>
      <c r="P13" s="340"/>
      <c r="Q13" s="340">
        <f>SUM(Q14:Q24)</f>
        <v>29667108107</v>
      </c>
      <c r="R13" s="338">
        <f>SUM(R14:R24)</f>
        <v>3250000000</v>
      </c>
      <c r="S13" s="338">
        <f>SUM(S14:S24)</f>
        <v>1000000000</v>
      </c>
      <c r="T13" s="339">
        <f>SUM(T14:T24)</f>
        <v>600000000</v>
      </c>
      <c r="U13" s="338">
        <f t="shared" si="1"/>
        <v>0</v>
      </c>
      <c r="V13" s="338">
        <f t="shared" si="1"/>
        <v>0</v>
      </c>
      <c r="W13" s="338">
        <f t="shared" si="1"/>
        <v>581868000</v>
      </c>
      <c r="X13" s="338">
        <f>SUM(X14:X24)</f>
        <v>8535240107</v>
      </c>
      <c r="Y13" s="338">
        <f>SUM(Y14:Y24)</f>
        <v>15700000000</v>
      </c>
      <c r="Z13" s="338">
        <f t="shared" ref="Z13" si="2">SUM(Z14:Z24)</f>
        <v>0</v>
      </c>
      <c r="AA13" s="336"/>
    </row>
    <row r="14" spans="1:27" s="346" customFormat="1" ht="49.2" customHeight="1">
      <c r="A14" s="341" t="s">
        <v>32</v>
      </c>
      <c r="B14" s="342" t="s">
        <v>275</v>
      </c>
      <c r="C14" s="282">
        <v>29</v>
      </c>
      <c r="D14" s="343">
        <v>43902</v>
      </c>
      <c r="E14" s="283">
        <f>SUM(F14:M14)</f>
        <v>3763900000</v>
      </c>
      <c r="F14" s="344"/>
      <c r="G14" s="344"/>
      <c r="H14" s="283"/>
      <c r="I14" s="283"/>
      <c r="J14" s="283">
        <v>208776000</v>
      </c>
      <c r="K14" s="283">
        <v>375266000</v>
      </c>
      <c r="L14" s="283">
        <v>2102858000</v>
      </c>
      <c r="M14" s="345">
        <v>1077000000</v>
      </c>
      <c r="N14" s="283"/>
      <c r="O14" s="283"/>
      <c r="P14" s="284"/>
      <c r="Q14" s="283">
        <f>SUM(R14:Y14)</f>
        <v>1797730700</v>
      </c>
      <c r="R14" s="283">
        <v>250000000</v>
      </c>
      <c r="S14" s="283"/>
      <c r="T14" s="283"/>
      <c r="U14" s="283"/>
      <c r="V14" s="283"/>
      <c r="W14" s="283"/>
      <c r="X14" s="283">
        <f>80377000+206431000+3593000+45554700+11775000</f>
        <v>347730700</v>
      </c>
      <c r="Y14" s="283">
        <v>1200000000</v>
      </c>
      <c r="Z14" s="283"/>
      <c r="AA14" s="285"/>
    </row>
    <row r="15" spans="1:27" s="346" customFormat="1" ht="49.2" customHeight="1">
      <c r="A15" s="341" t="s">
        <v>34</v>
      </c>
      <c r="B15" s="342" t="s">
        <v>284</v>
      </c>
      <c r="C15" s="282">
        <v>17</v>
      </c>
      <c r="D15" s="343">
        <v>44301</v>
      </c>
      <c r="E15" s="283">
        <f>SUM(F15:N15)</f>
        <v>2317132000</v>
      </c>
      <c r="F15" s="283"/>
      <c r="G15" s="283"/>
      <c r="H15" s="283"/>
      <c r="I15" s="283"/>
      <c r="J15" s="283">
        <v>161926000</v>
      </c>
      <c r="K15" s="283">
        <v>299156000</v>
      </c>
      <c r="L15" s="283">
        <v>875550000</v>
      </c>
      <c r="M15" s="347">
        <f>2317132000-J15-K15-L15</f>
        <v>980500000</v>
      </c>
      <c r="N15" s="283"/>
      <c r="O15" s="344" t="s">
        <v>295</v>
      </c>
      <c r="P15" s="348">
        <v>44560</v>
      </c>
      <c r="Q15" s="283">
        <f>SUM(R15:Z15)</f>
        <v>2173682407</v>
      </c>
      <c r="R15" s="283">
        <v>300000000</v>
      </c>
      <c r="S15" s="283">
        <v>100000000</v>
      </c>
      <c r="T15" s="344"/>
      <c r="U15" s="283"/>
      <c r="V15" s="283"/>
      <c r="W15" s="283">
        <f>16092000+15684000+15132000+4608000</f>
        <v>51516000</v>
      </c>
      <c r="X15" s="257">
        <f>209250000+214203000+155188007+119066400+24459000</f>
        <v>722166407</v>
      </c>
      <c r="Y15" s="283">
        <v>1000000000</v>
      </c>
      <c r="Z15" s="283"/>
      <c r="AA15" s="285"/>
    </row>
    <row r="16" spans="1:27" s="346" customFormat="1" ht="49.2" customHeight="1">
      <c r="A16" s="341" t="s">
        <v>155</v>
      </c>
      <c r="B16" s="342" t="s">
        <v>285</v>
      </c>
      <c r="C16" s="282">
        <v>36</v>
      </c>
      <c r="D16" s="343">
        <v>43536</v>
      </c>
      <c r="E16" s="283">
        <f t="shared" ref="E16:E24" si="3">SUM(F16:N16)</f>
        <v>4891750000</v>
      </c>
      <c r="F16" s="283"/>
      <c r="G16" s="283"/>
      <c r="H16" s="283"/>
      <c r="I16" s="283"/>
      <c r="J16" s="283"/>
      <c r="K16" s="283"/>
      <c r="L16" s="283">
        <v>3558250000</v>
      </c>
      <c r="M16" s="347">
        <f>4891750000-L16</f>
        <v>1333500000</v>
      </c>
      <c r="N16" s="283"/>
      <c r="O16" s="283" t="s">
        <v>572</v>
      </c>
      <c r="P16" s="284">
        <v>43865</v>
      </c>
      <c r="Q16" s="283">
        <f t="shared" ref="Q16:Q24" si="4">SUM(R16:Z16)</f>
        <v>2227966500</v>
      </c>
      <c r="R16" s="283">
        <v>300000000</v>
      </c>
      <c r="S16" s="283">
        <v>100000000</v>
      </c>
      <c r="T16" s="344">
        <v>100000000</v>
      </c>
      <c r="U16" s="283"/>
      <c r="V16" s="283"/>
      <c r="W16" s="283">
        <v>3240000</v>
      </c>
      <c r="X16" s="257">
        <f>191799500+10302000+18485000+4140000</f>
        <v>224726500</v>
      </c>
      <c r="Y16" s="283">
        <v>1500000000</v>
      </c>
      <c r="Z16" s="283"/>
      <c r="AA16" s="285"/>
    </row>
    <row r="17" spans="1:27" s="346" customFormat="1" ht="49.2" customHeight="1">
      <c r="A17" s="341" t="s">
        <v>276</v>
      </c>
      <c r="B17" s="342" t="s">
        <v>286</v>
      </c>
      <c r="C17" s="282">
        <v>39</v>
      </c>
      <c r="D17" s="343" t="s">
        <v>478</v>
      </c>
      <c r="E17" s="283">
        <f t="shared" si="3"/>
        <v>5573500000</v>
      </c>
      <c r="F17" s="283"/>
      <c r="G17" s="283"/>
      <c r="H17" s="283"/>
      <c r="I17" s="344"/>
      <c r="J17" s="344">
        <v>232470000</v>
      </c>
      <c r="K17" s="344">
        <v>361182000</v>
      </c>
      <c r="L17" s="344">
        <v>3340348000</v>
      </c>
      <c r="M17" s="347">
        <v>1639500000</v>
      </c>
      <c r="N17" s="344"/>
      <c r="O17" s="344" t="s">
        <v>294</v>
      </c>
      <c r="P17" s="348">
        <v>44196</v>
      </c>
      <c r="Q17" s="283">
        <f t="shared" si="4"/>
        <v>3444262000</v>
      </c>
      <c r="R17" s="283">
        <v>300000000</v>
      </c>
      <c r="S17" s="283">
        <v>100000000</v>
      </c>
      <c r="T17" s="344">
        <v>100000000</v>
      </c>
      <c r="U17" s="344"/>
      <c r="V17" s="344"/>
      <c r="W17" s="344">
        <f>13896000+8256000+3324000</f>
        <v>25476000</v>
      </c>
      <c r="X17" s="257">
        <f>360866500+145130500+144024500+73646500+150143500+44974500</f>
        <v>918786000</v>
      </c>
      <c r="Y17" s="283">
        <v>2000000000</v>
      </c>
      <c r="Z17" s="344"/>
      <c r="AA17" s="349"/>
    </row>
    <row r="18" spans="1:27" s="346" customFormat="1" ht="49.2" customHeight="1">
      <c r="A18" s="341" t="s">
        <v>277</v>
      </c>
      <c r="B18" s="342" t="s">
        <v>287</v>
      </c>
      <c r="C18" s="282">
        <v>18</v>
      </c>
      <c r="D18" s="343">
        <v>44301</v>
      </c>
      <c r="E18" s="283">
        <f>SUM(F18:N18)</f>
        <v>3717500000</v>
      </c>
      <c r="F18" s="283"/>
      <c r="G18" s="283"/>
      <c r="H18" s="283"/>
      <c r="I18" s="344"/>
      <c r="J18" s="344">
        <v>147454000</v>
      </c>
      <c r="K18" s="344">
        <v>300972000</v>
      </c>
      <c r="L18" s="344">
        <v>1873574000</v>
      </c>
      <c r="M18" s="347">
        <f>3717500000-J18-K18-L18</f>
        <v>1395500000</v>
      </c>
      <c r="N18" s="344"/>
      <c r="O18" s="344" t="s">
        <v>295</v>
      </c>
      <c r="P18" s="348">
        <v>44560</v>
      </c>
      <c r="Q18" s="283">
        <f t="shared" si="4"/>
        <v>3023451900</v>
      </c>
      <c r="R18" s="283">
        <v>300000000</v>
      </c>
      <c r="S18" s="283">
        <v>100000000</v>
      </c>
      <c r="T18" s="344"/>
      <c r="U18" s="344"/>
      <c r="V18" s="344"/>
      <c r="W18" s="344">
        <f>31524000+30612000+50496000+19392000</f>
        <v>132024000</v>
      </c>
      <c r="X18" s="257">
        <f>232781000+124607000+128556500+367901400+137582000</f>
        <v>991427900</v>
      </c>
      <c r="Y18" s="283">
        <v>1500000000</v>
      </c>
      <c r="Z18" s="344"/>
      <c r="AA18" s="349"/>
    </row>
    <row r="19" spans="1:27" s="346" customFormat="1" ht="49.2" customHeight="1">
      <c r="A19" s="341" t="s">
        <v>278</v>
      </c>
      <c r="B19" s="342" t="s">
        <v>288</v>
      </c>
      <c r="C19" s="282">
        <v>36</v>
      </c>
      <c r="D19" s="343">
        <v>43902</v>
      </c>
      <c r="E19" s="283">
        <f>SUM(F19:N19)</f>
        <v>4891500000</v>
      </c>
      <c r="F19" s="283"/>
      <c r="G19" s="283"/>
      <c r="H19" s="283"/>
      <c r="I19" s="344"/>
      <c r="J19" s="344">
        <v>220670000</v>
      </c>
      <c r="K19" s="344">
        <v>357702000</v>
      </c>
      <c r="L19" s="344">
        <v>2847628000</v>
      </c>
      <c r="M19" s="347">
        <v>1465500000</v>
      </c>
      <c r="N19" s="344"/>
      <c r="O19" s="344" t="s">
        <v>294</v>
      </c>
      <c r="P19" s="348">
        <v>44196</v>
      </c>
      <c r="Q19" s="283">
        <f t="shared" si="4"/>
        <v>3112246900</v>
      </c>
      <c r="R19" s="283">
        <v>300000000</v>
      </c>
      <c r="S19" s="283">
        <v>100000000</v>
      </c>
      <c r="T19" s="344">
        <v>100000000</v>
      </c>
      <c r="U19" s="344"/>
      <c r="V19" s="344"/>
      <c r="W19" s="344">
        <f>21840000+21168000+3096000</f>
        <v>46104000</v>
      </c>
      <c r="X19" s="257">
        <f>142169500+352758000+339735000+179463100+52017300</f>
        <v>1066142900</v>
      </c>
      <c r="Y19" s="283">
        <v>1500000000</v>
      </c>
      <c r="Z19" s="344"/>
      <c r="AA19" s="349"/>
    </row>
    <row r="20" spans="1:27" s="346" customFormat="1" ht="49.2" customHeight="1">
      <c r="A20" s="341" t="s">
        <v>279</v>
      </c>
      <c r="B20" s="342" t="s">
        <v>289</v>
      </c>
      <c r="C20" s="282">
        <v>15</v>
      </c>
      <c r="D20" s="343">
        <v>44301</v>
      </c>
      <c r="E20" s="283">
        <f>SUM(F20:N20)</f>
        <v>3029500000</v>
      </c>
      <c r="F20" s="283"/>
      <c r="G20" s="283"/>
      <c r="H20" s="283"/>
      <c r="I20" s="344"/>
      <c r="J20" s="344">
        <v>122276000</v>
      </c>
      <c r="K20" s="344">
        <v>283556000</v>
      </c>
      <c r="L20" s="344">
        <v>1572068000</v>
      </c>
      <c r="M20" s="347">
        <f>3029500000-J20-K20-L20</f>
        <v>1051600000</v>
      </c>
      <c r="N20" s="344"/>
      <c r="O20" s="344" t="s">
        <v>295</v>
      </c>
      <c r="P20" s="348">
        <v>44560</v>
      </c>
      <c r="Q20" s="283">
        <f t="shared" si="4"/>
        <v>2707120500</v>
      </c>
      <c r="R20" s="283">
        <v>300000000</v>
      </c>
      <c r="S20" s="283">
        <v>100000000</v>
      </c>
      <c r="T20" s="344"/>
      <c r="U20" s="344"/>
      <c r="V20" s="344"/>
      <c r="W20" s="344">
        <f>4464000+2400000+8484000+2352000</f>
        <v>17700000</v>
      </c>
      <c r="X20" s="257">
        <f>185783000+536615500+294024000+23797500+216629500+32571000</f>
        <v>1289420500</v>
      </c>
      <c r="Y20" s="283">
        <v>1000000000</v>
      </c>
      <c r="Z20" s="344"/>
      <c r="AA20" s="349"/>
    </row>
    <row r="21" spans="1:27" s="346" customFormat="1" ht="49.2" customHeight="1">
      <c r="A21" s="341" t="s">
        <v>280</v>
      </c>
      <c r="B21" s="342" t="s">
        <v>290</v>
      </c>
      <c r="C21" s="350" t="s">
        <v>571</v>
      </c>
      <c r="D21" s="343">
        <v>44239</v>
      </c>
      <c r="E21" s="283">
        <f t="shared" si="3"/>
        <v>2801500000</v>
      </c>
      <c r="F21" s="283"/>
      <c r="G21" s="283"/>
      <c r="H21" s="283"/>
      <c r="I21" s="344"/>
      <c r="J21" s="344">
        <v>126110000</v>
      </c>
      <c r="K21" s="344">
        <v>251166000</v>
      </c>
      <c r="L21" s="344">
        <v>1267724000</v>
      </c>
      <c r="M21" s="347">
        <f>2801500000-J21-K21-L21</f>
        <v>1156500000</v>
      </c>
      <c r="N21" s="344"/>
      <c r="O21" s="344" t="s">
        <v>295</v>
      </c>
      <c r="P21" s="348">
        <v>44560</v>
      </c>
      <c r="Q21" s="283">
        <f t="shared" si="4"/>
        <v>2117666900</v>
      </c>
      <c r="R21" s="283">
        <v>300000000</v>
      </c>
      <c r="S21" s="283">
        <v>100000000</v>
      </c>
      <c r="T21" s="344"/>
      <c r="U21" s="344"/>
      <c r="V21" s="344"/>
      <c r="W21" s="344">
        <f>16044000+10260000+6372000</f>
        <v>32676000</v>
      </c>
      <c r="X21" s="257">
        <f>129657500+166033500+137856000+7637400+43806500</f>
        <v>484990900</v>
      </c>
      <c r="Y21" s="283">
        <v>1200000000</v>
      </c>
      <c r="Z21" s="344"/>
      <c r="AA21" s="349"/>
    </row>
    <row r="22" spans="1:27" s="346" customFormat="1" ht="49.2" customHeight="1">
      <c r="A22" s="341" t="s">
        <v>281</v>
      </c>
      <c r="B22" s="342" t="s">
        <v>291</v>
      </c>
      <c r="C22" s="282">
        <v>35</v>
      </c>
      <c r="D22" s="343">
        <v>43902</v>
      </c>
      <c r="E22" s="283">
        <f t="shared" si="3"/>
        <v>4266500000</v>
      </c>
      <c r="F22" s="283"/>
      <c r="G22" s="283"/>
      <c r="H22" s="283"/>
      <c r="I22" s="344"/>
      <c r="J22" s="344">
        <v>82764000</v>
      </c>
      <c r="K22" s="344">
        <v>224658000</v>
      </c>
      <c r="L22" s="344">
        <v>2561078000</v>
      </c>
      <c r="M22" s="347">
        <f>4266500000-J22-K22-L22</f>
        <v>1398000000</v>
      </c>
      <c r="N22" s="344"/>
      <c r="O22" s="344" t="s">
        <v>294</v>
      </c>
      <c r="P22" s="348">
        <v>44196</v>
      </c>
      <c r="Q22" s="283">
        <f t="shared" si="4"/>
        <v>2627838100</v>
      </c>
      <c r="R22" s="283">
        <v>300000000</v>
      </c>
      <c r="S22" s="283">
        <v>100000000</v>
      </c>
      <c r="T22" s="344">
        <v>100000000</v>
      </c>
      <c r="U22" s="344"/>
      <c r="V22" s="344"/>
      <c r="W22" s="344">
        <f>23580000+10320000+8604000</f>
        <v>42504000</v>
      </c>
      <c r="X22" s="257">
        <f>119525800+169801500+139649500+46373500+79191800+30792000</f>
        <v>585334100</v>
      </c>
      <c r="Y22" s="283">
        <v>1500000000</v>
      </c>
      <c r="Z22" s="344"/>
      <c r="AA22" s="349"/>
    </row>
    <row r="23" spans="1:27" s="346" customFormat="1" ht="49.2" customHeight="1">
      <c r="A23" s="341" t="s">
        <v>282</v>
      </c>
      <c r="B23" s="342" t="s">
        <v>292</v>
      </c>
      <c r="C23" s="282">
        <v>19</v>
      </c>
      <c r="D23" s="343">
        <v>43536</v>
      </c>
      <c r="E23" s="283">
        <f t="shared" si="3"/>
        <v>5954000000</v>
      </c>
      <c r="F23" s="283"/>
      <c r="G23" s="283"/>
      <c r="H23" s="283"/>
      <c r="I23" s="344"/>
      <c r="J23" s="344"/>
      <c r="K23" s="344"/>
      <c r="L23" s="344">
        <v>4541500000</v>
      </c>
      <c r="M23" s="347">
        <f>5954000000-L23</f>
        <v>1412500000</v>
      </c>
      <c r="N23" s="344"/>
      <c r="O23" s="344" t="str">
        <f>+O17</f>
        <v>6150/QĐ</v>
      </c>
      <c r="P23" s="348">
        <f>+P17</f>
        <v>44196</v>
      </c>
      <c r="Q23" s="283">
        <f t="shared" si="4"/>
        <v>2566554800</v>
      </c>
      <c r="R23" s="283">
        <v>300000000</v>
      </c>
      <c r="S23" s="283">
        <v>100000000</v>
      </c>
      <c r="T23" s="344">
        <v>100000000</v>
      </c>
      <c r="U23" s="344"/>
      <c r="V23" s="344"/>
      <c r="W23" s="344">
        <f>26904000+3960000+7932000+12624000</f>
        <v>51420000</v>
      </c>
      <c r="X23" s="257">
        <f>259473700+76122500+9510000+3261600+72454000+94313000</f>
        <v>515134800</v>
      </c>
      <c r="Y23" s="283">
        <v>1500000000</v>
      </c>
      <c r="Z23" s="344"/>
      <c r="AA23" s="349"/>
    </row>
    <row r="24" spans="1:27" s="346" customFormat="1" ht="49.2" customHeight="1">
      <c r="A24" s="341" t="s">
        <v>283</v>
      </c>
      <c r="B24" s="342" t="s">
        <v>293</v>
      </c>
      <c r="C24" s="282">
        <v>33</v>
      </c>
      <c r="D24" s="343">
        <v>43902</v>
      </c>
      <c r="E24" s="283">
        <f t="shared" si="3"/>
        <v>5152500000</v>
      </c>
      <c r="F24" s="283"/>
      <c r="G24" s="283"/>
      <c r="H24" s="283"/>
      <c r="I24" s="344"/>
      <c r="J24" s="344">
        <v>236270000</v>
      </c>
      <c r="K24" s="344">
        <v>419962000</v>
      </c>
      <c r="L24" s="344">
        <v>2811268000</v>
      </c>
      <c r="M24" s="347">
        <v>1685000000</v>
      </c>
      <c r="N24" s="344"/>
      <c r="O24" s="344" t="s">
        <v>294</v>
      </c>
      <c r="P24" s="348">
        <v>44196</v>
      </c>
      <c r="Q24" s="283">
        <f t="shared" si="4"/>
        <v>3868587400</v>
      </c>
      <c r="R24" s="283">
        <v>300000000</v>
      </c>
      <c r="S24" s="283">
        <v>100000000</v>
      </c>
      <c r="T24" s="344">
        <v>100000000</v>
      </c>
      <c r="U24" s="344"/>
      <c r="V24" s="344"/>
      <c r="W24" s="344">
        <f>84708000+68712000+1764000+8220000+15804000</f>
        <v>179208000</v>
      </c>
      <c r="X24" s="257">
        <f>12542500+473365000+227804000+507364500+13419500+104179400+50704500</f>
        <v>1389379400</v>
      </c>
      <c r="Y24" s="283">
        <v>1800000000</v>
      </c>
      <c r="Z24" s="344"/>
      <c r="AA24" s="349"/>
    </row>
    <row r="25" spans="1:27">
      <c r="X25" s="351"/>
    </row>
  </sheetData>
  <mergeCells count="24">
    <mergeCell ref="Y3:Z3"/>
    <mergeCell ref="A4:AA4"/>
    <mergeCell ref="A6:A9"/>
    <mergeCell ref="B6:B9"/>
    <mergeCell ref="C7:C9"/>
    <mergeCell ref="D7:D9"/>
    <mergeCell ref="E7:E9"/>
    <mergeCell ref="C6:N6"/>
    <mergeCell ref="F7:N7"/>
    <mergeCell ref="M8:M9"/>
    <mergeCell ref="N8:N9"/>
    <mergeCell ref="F8:H8"/>
    <mergeCell ref="I8:L8"/>
    <mergeCell ref="Z8:Z9"/>
    <mergeCell ref="AA6:AA9"/>
    <mergeCell ref="O7:O9"/>
    <mergeCell ref="P7:P9"/>
    <mergeCell ref="O6:P6"/>
    <mergeCell ref="Q6:Z6"/>
    <mergeCell ref="Q7:Q9"/>
    <mergeCell ref="R7:Z7"/>
    <mergeCell ref="R8:T8"/>
    <mergeCell ref="U8:X8"/>
    <mergeCell ref="Y8:Y9"/>
  </mergeCells>
  <printOptions horizontalCentered="1"/>
  <pageMargins left="0" right="0" top="0.35433070866141703" bottom="0" header="0.31496062992126" footer="0.31496062992126"/>
  <pageSetup paperSize="9" scale="5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
  <sheetViews>
    <sheetView zoomScaleNormal="100" workbookViewId="0">
      <selection activeCell="D6" sqref="D6:D7"/>
    </sheetView>
  </sheetViews>
  <sheetFormatPr defaultRowHeight="15.6"/>
  <cols>
    <col min="1" max="1" width="4.3984375" customWidth="1"/>
    <col min="2" max="2" width="12.19921875" customWidth="1"/>
    <col min="3" max="3" width="9.3984375" customWidth="1"/>
    <col min="5" max="14" width="11.296875" customWidth="1"/>
  </cols>
  <sheetData>
    <row r="1" spans="1:14">
      <c r="A1" s="77" t="s">
        <v>570</v>
      </c>
    </row>
    <row r="2" spans="1:14" ht="16.2">
      <c r="A2" s="286" t="s">
        <v>568</v>
      </c>
      <c r="B2" s="79"/>
      <c r="C2" s="79"/>
      <c r="D2" s="79"/>
      <c r="E2" s="79"/>
      <c r="F2" s="79"/>
      <c r="G2" s="79"/>
      <c r="H2" s="79"/>
      <c r="I2" s="79"/>
      <c r="J2" s="79"/>
      <c r="K2" s="79"/>
      <c r="L2" s="79"/>
      <c r="M2" s="427" t="s">
        <v>243</v>
      </c>
      <c r="N2" s="427"/>
    </row>
    <row r="3" spans="1:14" ht="16.8">
      <c r="A3" s="77"/>
      <c r="B3" s="79"/>
      <c r="C3" s="79"/>
      <c r="D3" s="79"/>
      <c r="E3" s="79"/>
      <c r="F3" s="79"/>
      <c r="G3" s="79"/>
      <c r="H3" s="79"/>
      <c r="I3" s="79"/>
      <c r="J3" s="79"/>
      <c r="K3" s="79"/>
      <c r="L3" s="79"/>
      <c r="M3" s="79"/>
      <c r="N3" s="80"/>
    </row>
    <row r="4" spans="1:14" ht="16.8">
      <c r="A4" s="489" t="s">
        <v>254</v>
      </c>
      <c r="B4" s="490"/>
      <c r="C4" s="490"/>
      <c r="D4" s="490"/>
      <c r="E4" s="490"/>
      <c r="F4" s="490"/>
      <c r="G4" s="490"/>
      <c r="H4" s="490"/>
      <c r="I4" s="490"/>
      <c r="J4" s="490"/>
      <c r="K4" s="490"/>
      <c r="L4" s="490"/>
      <c r="M4" s="490"/>
      <c r="N4" s="490"/>
    </row>
    <row r="5" spans="1:14">
      <c r="A5" s="79"/>
      <c r="B5" s="79"/>
      <c r="C5" s="79"/>
      <c r="D5" s="79"/>
      <c r="E5" s="79"/>
      <c r="F5" s="79"/>
      <c r="G5" s="79"/>
      <c r="H5" s="79"/>
      <c r="I5" s="79"/>
      <c r="J5" s="79"/>
      <c r="K5" s="79"/>
      <c r="L5" s="79"/>
      <c r="M5" s="79"/>
      <c r="N5" s="79"/>
    </row>
    <row r="6" spans="1:14" ht="23.25" customHeight="1">
      <c r="A6" s="494" t="s">
        <v>158</v>
      </c>
      <c r="B6" s="495" t="s">
        <v>215</v>
      </c>
      <c r="C6" s="495" t="s">
        <v>218</v>
      </c>
      <c r="D6" s="498" t="s">
        <v>216</v>
      </c>
      <c r="E6" s="491" t="s">
        <v>246</v>
      </c>
      <c r="F6" s="492"/>
      <c r="G6" s="492"/>
      <c r="H6" s="492"/>
      <c r="I6" s="492"/>
      <c r="J6" s="492"/>
      <c r="K6" s="492"/>
      <c r="L6" s="492"/>
      <c r="M6" s="492"/>
      <c r="N6" s="493"/>
    </row>
    <row r="7" spans="1:14" ht="124.8">
      <c r="A7" s="494"/>
      <c r="B7" s="496"/>
      <c r="C7" s="497"/>
      <c r="D7" s="498"/>
      <c r="E7" s="131" t="s">
        <v>159</v>
      </c>
      <c r="F7" s="131" t="s">
        <v>160</v>
      </c>
      <c r="G7" s="132" t="s">
        <v>161</v>
      </c>
      <c r="H7" s="131" t="s">
        <v>162</v>
      </c>
      <c r="I7" s="131" t="s">
        <v>163</v>
      </c>
      <c r="J7" s="131" t="s">
        <v>164</v>
      </c>
      <c r="K7" s="131" t="s">
        <v>165</v>
      </c>
      <c r="L7" s="131" t="s">
        <v>166</v>
      </c>
      <c r="M7" s="131" t="s">
        <v>167</v>
      </c>
      <c r="N7" s="131" t="s">
        <v>214</v>
      </c>
    </row>
    <row r="8" spans="1:14" s="183" customFormat="1" ht="79.2">
      <c r="A8" s="181">
        <v>1</v>
      </c>
      <c r="B8" s="182" t="s">
        <v>369</v>
      </c>
      <c r="C8" s="182" t="s">
        <v>369</v>
      </c>
      <c r="D8" s="181" t="s">
        <v>479</v>
      </c>
      <c r="E8" s="178" t="s">
        <v>480</v>
      </c>
      <c r="F8" s="178" t="s">
        <v>481</v>
      </c>
      <c r="G8" s="179" t="s">
        <v>482</v>
      </c>
      <c r="H8" s="179" t="s">
        <v>483</v>
      </c>
      <c r="I8" s="178" t="s">
        <v>484</v>
      </c>
      <c r="J8" s="178" t="s">
        <v>485</v>
      </c>
      <c r="K8" s="178" t="s">
        <v>486</v>
      </c>
      <c r="L8" s="178" t="s">
        <v>487</v>
      </c>
      <c r="M8" s="178" t="s">
        <v>488</v>
      </c>
      <c r="N8" s="178" t="s">
        <v>489</v>
      </c>
    </row>
    <row r="9" spans="1:14" s="183" customFormat="1" ht="79.2">
      <c r="A9" s="181">
        <v>2</v>
      </c>
      <c r="B9" s="182" t="s">
        <v>356</v>
      </c>
      <c r="C9" s="182" t="s">
        <v>356</v>
      </c>
      <c r="D9" s="181">
        <v>2021</v>
      </c>
      <c r="E9" s="178" t="s">
        <v>490</v>
      </c>
      <c r="F9" s="178" t="s">
        <v>491</v>
      </c>
      <c r="G9" s="179" t="s">
        <v>492</v>
      </c>
      <c r="H9" s="179" t="s">
        <v>493</v>
      </c>
      <c r="I9" s="178" t="s">
        <v>494</v>
      </c>
      <c r="J9" s="178" t="s">
        <v>495</v>
      </c>
      <c r="K9" s="178" t="s">
        <v>496</v>
      </c>
      <c r="L9" s="178" t="s">
        <v>497</v>
      </c>
      <c r="M9" s="178" t="s">
        <v>488</v>
      </c>
      <c r="N9" s="178" t="s">
        <v>489</v>
      </c>
    </row>
    <row r="10" spans="1:14" s="183" customFormat="1" ht="79.2">
      <c r="A10" s="181">
        <v>3</v>
      </c>
      <c r="B10" s="182" t="s">
        <v>375</v>
      </c>
      <c r="C10" s="182" t="s">
        <v>375</v>
      </c>
      <c r="D10" s="181">
        <v>2019</v>
      </c>
      <c r="E10" s="178" t="s">
        <v>498</v>
      </c>
      <c r="F10" s="178" t="s">
        <v>499</v>
      </c>
      <c r="G10" s="179" t="s">
        <v>500</v>
      </c>
      <c r="H10" s="179" t="s">
        <v>501</v>
      </c>
      <c r="I10" s="178" t="s">
        <v>502</v>
      </c>
      <c r="J10" s="178" t="s">
        <v>503</v>
      </c>
      <c r="K10" s="178" t="s">
        <v>504</v>
      </c>
      <c r="L10" s="178" t="s">
        <v>505</v>
      </c>
      <c r="M10" s="178" t="s">
        <v>488</v>
      </c>
      <c r="N10" s="178" t="s">
        <v>489</v>
      </c>
    </row>
    <row r="11" spans="1:14" s="183" customFormat="1" ht="79.2">
      <c r="A11" s="181">
        <v>4</v>
      </c>
      <c r="B11" s="182" t="s">
        <v>385</v>
      </c>
      <c r="C11" s="182" t="s">
        <v>385</v>
      </c>
      <c r="D11" s="181">
        <v>2020</v>
      </c>
      <c r="E11" s="178" t="s">
        <v>506</v>
      </c>
      <c r="F11" s="178" t="s">
        <v>507</v>
      </c>
      <c r="G11" s="179" t="s">
        <v>508</v>
      </c>
      <c r="H11" s="179" t="s">
        <v>509</v>
      </c>
      <c r="I11" s="178" t="s">
        <v>510</v>
      </c>
      <c r="J11" s="178" t="s">
        <v>511</v>
      </c>
      <c r="K11" s="178" t="s">
        <v>512</v>
      </c>
      <c r="L11" s="178" t="s">
        <v>513</v>
      </c>
      <c r="M11" s="178" t="s">
        <v>488</v>
      </c>
      <c r="N11" s="178" t="s">
        <v>489</v>
      </c>
    </row>
    <row r="12" spans="1:14" s="183" customFormat="1" ht="79.2">
      <c r="A12" s="181">
        <v>5</v>
      </c>
      <c r="B12" s="182" t="s">
        <v>418</v>
      </c>
      <c r="C12" s="182" t="s">
        <v>418</v>
      </c>
      <c r="D12" s="181">
        <v>2021</v>
      </c>
      <c r="E12" s="178" t="s">
        <v>514</v>
      </c>
      <c r="F12" s="178" t="s">
        <v>515</v>
      </c>
      <c r="G12" s="179" t="s">
        <v>516</v>
      </c>
      <c r="H12" s="179" t="s">
        <v>517</v>
      </c>
      <c r="I12" s="178" t="s">
        <v>518</v>
      </c>
      <c r="J12" s="178" t="s">
        <v>519</v>
      </c>
      <c r="K12" s="178" t="s">
        <v>520</v>
      </c>
      <c r="L12" s="178" t="s">
        <v>521</v>
      </c>
      <c r="M12" s="178" t="s">
        <v>488</v>
      </c>
      <c r="N12" s="178" t="s">
        <v>489</v>
      </c>
    </row>
    <row r="13" spans="1:14" s="183" customFormat="1" ht="79.2">
      <c r="A13" s="181">
        <v>6</v>
      </c>
      <c r="B13" s="182" t="s">
        <v>371</v>
      </c>
      <c r="C13" s="182" t="s">
        <v>371</v>
      </c>
      <c r="D13" s="181">
        <v>2020</v>
      </c>
      <c r="E13" s="178" t="s">
        <v>522</v>
      </c>
      <c r="F13" s="178" t="s">
        <v>523</v>
      </c>
      <c r="G13" s="179" t="s">
        <v>524</v>
      </c>
      <c r="H13" s="179" t="s">
        <v>525</v>
      </c>
      <c r="I13" s="179" t="s">
        <v>526</v>
      </c>
      <c r="J13" s="178" t="s">
        <v>519</v>
      </c>
      <c r="K13" s="178" t="s">
        <v>527</v>
      </c>
      <c r="L13" s="178" t="s">
        <v>528</v>
      </c>
      <c r="M13" s="178" t="s">
        <v>488</v>
      </c>
      <c r="N13" s="178" t="s">
        <v>489</v>
      </c>
    </row>
    <row r="14" spans="1:14" s="183" customFormat="1" ht="79.2">
      <c r="A14" s="181">
        <v>7</v>
      </c>
      <c r="B14" s="182" t="s">
        <v>367</v>
      </c>
      <c r="C14" s="182" t="s">
        <v>367</v>
      </c>
      <c r="D14" s="181">
        <v>2021</v>
      </c>
      <c r="E14" s="178" t="s">
        <v>529</v>
      </c>
      <c r="F14" s="178" t="s">
        <v>530</v>
      </c>
      <c r="G14" s="179" t="s">
        <v>531</v>
      </c>
      <c r="H14" s="179" t="s">
        <v>532</v>
      </c>
      <c r="I14" s="178" t="s">
        <v>533</v>
      </c>
      <c r="J14" s="178" t="s">
        <v>534</v>
      </c>
      <c r="K14" s="178" t="s">
        <v>535</v>
      </c>
      <c r="L14" s="178" t="s">
        <v>536</v>
      </c>
      <c r="M14" s="178" t="s">
        <v>488</v>
      </c>
      <c r="N14" s="178" t="s">
        <v>489</v>
      </c>
    </row>
    <row r="15" spans="1:14" s="183" customFormat="1" ht="79.2">
      <c r="A15" s="181">
        <v>8</v>
      </c>
      <c r="B15" s="182" t="s">
        <v>365</v>
      </c>
      <c r="C15" s="182" t="s">
        <v>365</v>
      </c>
      <c r="D15" s="181">
        <v>2021</v>
      </c>
      <c r="E15" s="178" t="s">
        <v>537</v>
      </c>
      <c r="F15" s="178" t="s">
        <v>538</v>
      </c>
      <c r="G15" s="179" t="s">
        <v>539</v>
      </c>
      <c r="H15" s="179" t="s">
        <v>540</v>
      </c>
      <c r="I15" s="178" t="s">
        <v>541</v>
      </c>
      <c r="J15" s="178" t="s">
        <v>542</v>
      </c>
      <c r="K15" s="178" t="s">
        <v>543</v>
      </c>
      <c r="L15" s="178" t="s">
        <v>544</v>
      </c>
      <c r="M15" s="178" t="s">
        <v>488</v>
      </c>
      <c r="N15" s="178" t="s">
        <v>489</v>
      </c>
    </row>
    <row r="16" spans="1:14" s="183" customFormat="1" ht="79.2">
      <c r="A16" s="181">
        <v>9</v>
      </c>
      <c r="B16" s="182" t="s">
        <v>373</v>
      </c>
      <c r="C16" s="182" t="s">
        <v>373</v>
      </c>
      <c r="D16" s="181">
        <v>2020</v>
      </c>
      <c r="E16" s="178" t="s">
        <v>545</v>
      </c>
      <c r="F16" s="178" t="s">
        <v>546</v>
      </c>
      <c r="G16" s="179" t="s">
        <v>547</v>
      </c>
      <c r="H16" s="179" t="s">
        <v>548</v>
      </c>
      <c r="I16" s="178" t="s">
        <v>549</v>
      </c>
      <c r="J16" s="178" t="s">
        <v>550</v>
      </c>
      <c r="K16" s="178" t="s">
        <v>543</v>
      </c>
      <c r="L16" s="178" t="s">
        <v>551</v>
      </c>
      <c r="M16" s="178" t="s">
        <v>488</v>
      </c>
      <c r="N16" s="178" t="s">
        <v>489</v>
      </c>
    </row>
    <row r="17" spans="1:14" s="183" customFormat="1" ht="79.2">
      <c r="A17" s="181">
        <v>10</v>
      </c>
      <c r="B17" s="184" t="s">
        <v>388</v>
      </c>
      <c r="C17" s="184" t="s">
        <v>388</v>
      </c>
      <c r="D17" s="180">
        <v>2019</v>
      </c>
      <c r="E17" s="178" t="s">
        <v>552</v>
      </c>
      <c r="F17" s="178" t="s">
        <v>553</v>
      </c>
      <c r="G17" s="179" t="s">
        <v>554</v>
      </c>
      <c r="H17" s="179" t="s">
        <v>555</v>
      </c>
      <c r="I17" s="178" t="s">
        <v>556</v>
      </c>
      <c r="J17" s="178" t="s">
        <v>557</v>
      </c>
      <c r="K17" s="178" t="s">
        <v>558</v>
      </c>
      <c r="L17" s="178" t="s">
        <v>559</v>
      </c>
      <c r="M17" s="178" t="s">
        <v>488</v>
      </c>
      <c r="N17" s="178" t="s">
        <v>489</v>
      </c>
    </row>
    <row r="18" spans="1:14" s="183" customFormat="1" ht="79.2">
      <c r="A18" s="181">
        <v>11</v>
      </c>
      <c r="B18" s="184" t="s">
        <v>402</v>
      </c>
      <c r="C18" s="184" t="s">
        <v>402</v>
      </c>
      <c r="D18" s="180">
        <v>2020</v>
      </c>
      <c r="E18" s="178" t="s">
        <v>560</v>
      </c>
      <c r="F18" s="178" t="s">
        <v>561</v>
      </c>
      <c r="G18" s="179" t="s">
        <v>562</v>
      </c>
      <c r="H18" s="179" t="s">
        <v>563</v>
      </c>
      <c r="I18" s="178" t="s">
        <v>564</v>
      </c>
      <c r="J18" s="178" t="s">
        <v>565</v>
      </c>
      <c r="K18" s="178" t="s">
        <v>566</v>
      </c>
      <c r="L18" s="178" t="s">
        <v>559</v>
      </c>
      <c r="M18" s="178" t="s">
        <v>488</v>
      </c>
      <c r="N18" s="178" t="s">
        <v>489</v>
      </c>
    </row>
  </sheetData>
  <mergeCells count="7">
    <mergeCell ref="M2:N2"/>
    <mergeCell ref="A4:N4"/>
    <mergeCell ref="E6:N6"/>
    <mergeCell ref="A6:A7"/>
    <mergeCell ref="B6:B7"/>
    <mergeCell ref="C6:C7"/>
    <mergeCell ref="D6:D7"/>
  </mergeCells>
  <printOptions horizontalCentered="1"/>
  <pageMargins left="0" right="0" top="0.35433070866141703" bottom="0.5" header="0.31496062992126" footer="0.31496062992126"/>
  <pageSetup paperSize="9" scale="90" orientation="landscape" verticalDpi="0"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2"/>
  <sheetViews>
    <sheetView workbookViewId="0">
      <selection sqref="A1:A2"/>
    </sheetView>
  </sheetViews>
  <sheetFormatPr defaultColWidth="8" defaultRowHeight="15.6"/>
  <cols>
    <col min="1" max="1" width="3.59765625" style="75" customWidth="1"/>
    <col min="2" max="2" width="19.8984375" style="68" customWidth="1"/>
    <col min="3" max="5" width="9.8984375" style="68" customWidth="1"/>
    <col min="6" max="13" width="6.19921875" style="68" customWidth="1"/>
    <col min="14" max="14" width="27.09765625" style="68" customWidth="1"/>
    <col min="15" max="16384" width="8" style="68"/>
  </cols>
  <sheetData>
    <row r="1" spans="1:20">
      <c r="A1" s="279" t="s">
        <v>570</v>
      </c>
      <c r="B1" s="281"/>
      <c r="D1" s="185"/>
      <c r="F1" s="186"/>
      <c r="G1" s="186"/>
      <c r="H1" s="186"/>
      <c r="I1" s="186"/>
      <c r="J1" s="186"/>
      <c r="K1" s="186"/>
      <c r="L1" s="186"/>
      <c r="M1" s="186"/>
      <c r="N1" s="186"/>
      <c r="O1" s="186"/>
      <c r="P1" s="258"/>
      <c r="Q1" s="186"/>
      <c r="R1" s="186"/>
      <c r="S1" s="186"/>
      <c r="T1" s="186"/>
    </row>
    <row r="2" spans="1:20">
      <c r="A2" s="280" t="s">
        <v>568</v>
      </c>
      <c r="B2" s="154"/>
      <c r="D2" s="185"/>
      <c r="F2" s="186"/>
      <c r="G2" s="186"/>
      <c r="H2" s="186"/>
      <c r="I2" s="186"/>
      <c r="J2" s="186"/>
      <c r="K2" s="186"/>
      <c r="L2" s="186"/>
      <c r="M2" s="186"/>
      <c r="N2" s="186"/>
      <c r="O2" s="186"/>
      <c r="P2" s="258"/>
      <c r="Q2" s="186"/>
      <c r="R2" s="186"/>
      <c r="S2" s="186"/>
      <c r="T2" s="186"/>
    </row>
    <row r="3" spans="1:20" ht="16.2">
      <c r="B3" s="77"/>
      <c r="C3" s="77"/>
      <c r="D3" s="77"/>
      <c r="E3" s="77"/>
      <c r="F3" s="77"/>
      <c r="G3" s="77"/>
      <c r="H3" s="77"/>
      <c r="I3" s="77"/>
      <c r="J3" s="77"/>
      <c r="K3" s="77"/>
      <c r="L3" s="77"/>
      <c r="M3" s="77"/>
      <c r="N3" s="427" t="s">
        <v>242</v>
      </c>
      <c r="O3" s="427"/>
    </row>
    <row r="5" spans="1:20" ht="16.8">
      <c r="A5" s="442" t="s">
        <v>255</v>
      </c>
      <c r="B5" s="442"/>
      <c r="C5" s="442"/>
      <c r="D5" s="442"/>
      <c r="E5" s="442"/>
      <c r="F5" s="442"/>
      <c r="G5" s="442"/>
      <c r="H5" s="442"/>
      <c r="I5" s="442"/>
      <c r="J5" s="442"/>
      <c r="K5" s="442"/>
      <c r="L5" s="442"/>
      <c r="M5" s="442"/>
      <c r="N5" s="442"/>
      <c r="O5" s="442"/>
    </row>
    <row r="6" spans="1:20" ht="18">
      <c r="A6" s="443"/>
      <c r="B6" s="443"/>
      <c r="C6" s="443"/>
      <c r="D6" s="443"/>
      <c r="E6" s="443"/>
      <c r="F6" s="443"/>
      <c r="G6" s="443"/>
      <c r="H6" s="443"/>
      <c r="I6" s="443"/>
      <c r="J6" s="443"/>
      <c r="K6" s="443"/>
      <c r="L6" s="443"/>
      <c r="M6" s="443"/>
      <c r="N6" s="443"/>
    </row>
    <row r="7" spans="1:20" ht="64.5" customHeight="1">
      <c r="A7" s="432" t="s">
        <v>9</v>
      </c>
      <c r="B7" s="432" t="s">
        <v>174</v>
      </c>
      <c r="C7" s="435" t="s">
        <v>224</v>
      </c>
      <c r="D7" s="435" t="s">
        <v>225</v>
      </c>
      <c r="E7" s="435" t="s">
        <v>228</v>
      </c>
      <c r="F7" s="439" t="s">
        <v>258</v>
      </c>
      <c r="G7" s="440"/>
      <c r="H7" s="440"/>
      <c r="I7" s="440"/>
      <c r="J7" s="440"/>
      <c r="K7" s="440"/>
      <c r="L7" s="440"/>
      <c r="M7" s="441"/>
      <c r="N7" s="435" t="s">
        <v>226</v>
      </c>
      <c r="O7" s="432" t="s">
        <v>24</v>
      </c>
    </row>
    <row r="8" spans="1:20" ht="64.5" customHeight="1">
      <c r="A8" s="434"/>
      <c r="B8" s="434"/>
      <c r="C8" s="437"/>
      <c r="D8" s="437"/>
      <c r="E8" s="437"/>
      <c r="F8" s="133" t="s">
        <v>7</v>
      </c>
      <c r="G8" s="83" t="s">
        <v>53</v>
      </c>
      <c r="H8" s="139" t="s">
        <v>268</v>
      </c>
      <c r="I8" s="139" t="s">
        <v>269</v>
      </c>
      <c r="J8" s="139" t="s">
        <v>270</v>
      </c>
      <c r="K8" s="139" t="s">
        <v>267</v>
      </c>
      <c r="L8" s="139" t="s">
        <v>271</v>
      </c>
      <c r="M8" s="139" t="s">
        <v>272</v>
      </c>
      <c r="N8" s="437"/>
      <c r="O8" s="434"/>
    </row>
    <row r="9" spans="1:20" s="69" customFormat="1">
      <c r="A9" s="67" t="s">
        <v>51</v>
      </c>
      <c r="B9" s="67" t="s">
        <v>52</v>
      </c>
      <c r="C9" s="67">
        <v>1</v>
      </c>
      <c r="D9" s="86">
        <v>2</v>
      </c>
      <c r="E9" s="86">
        <v>3</v>
      </c>
      <c r="F9" s="86">
        <v>4</v>
      </c>
      <c r="G9" s="86">
        <v>5</v>
      </c>
      <c r="H9" s="86">
        <v>6</v>
      </c>
      <c r="I9" s="86">
        <v>7</v>
      </c>
      <c r="J9" s="86">
        <v>8</v>
      </c>
      <c r="K9" s="86">
        <v>9</v>
      </c>
      <c r="L9" s="137">
        <v>10</v>
      </c>
      <c r="M9" s="86">
        <v>11</v>
      </c>
      <c r="N9" s="86">
        <v>12</v>
      </c>
      <c r="O9" s="67">
        <v>13</v>
      </c>
    </row>
    <row r="10" spans="1:20">
      <c r="A10" s="85" t="s">
        <v>14</v>
      </c>
      <c r="B10" s="85" t="s">
        <v>139</v>
      </c>
      <c r="C10" s="84"/>
      <c r="D10" s="84"/>
      <c r="E10" s="84"/>
      <c r="F10" s="84"/>
      <c r="G10" s="84"/>
      <c r="H10" s="84"/>
      <c r="I10" s="84"/>
      <c r="J10" s="84"/>
      <c r="K10" s="84"/>
      <c r="L10" s="135"/>
      <c r="M10" s="84"/>
      <c r="N10" s="84"/>
      <c r="O10" s="73"/>
    </row>
    <row r="11" spans="1:20">
      <c r="A11" s="85" t="s">
        <v>13</v>
      </c>
      <c r="B11" s="85" t="s">
        <v>28</v>
      </c>
      <c r="C11" s="85"/>
      <c r="D11" s="85"/>
      <c r="E11" s="85"/>
      <c r="F11" s="85"/>
      <c r="G11" s="85"/>
      <c r="H11" s="85"/>
      <c r="I11" s="85"/>
      <c r="J11" s="85"/>
      <c r="K11" s="85"/>
      <c r="L11" s="136"/>
      <c r="M11" s="85"/>
      <c r="N11" s="85"/>
      <c r="O11" s="73"/>
    </row>
    <row r="12" spans="1:20" ht="31.2">
      <c r="A12" s="87">
        <v>1</v>
      </c>
      <c r="B12" s="74" t="s">
        <v>259</v>
      </c>
      <c r="C12" s="74">
        <v>1800</v>
      </c>
      <c r="D12" s="74">
        <v>66</v>
      </c>
      <c r="E12" s="155">
        <f>+D12/C12*100</f>
        <v>3.6666666666666665</v>
      </c>
      <c r="F12" s="74">
        <f>+G12+H12+I12+J12+K12+L12+M12</f>
        <v>66</v>
      </c>
      <c r="G12" s="74">
        <v>5</v>
      </c>
      <c r="H12" s="74"/>
      <c r="I12" s="74"/>
      <c r="J12" s="74">
        <v>5</v>
      </c>
      <c r="K12" s="74">
        <v>21</v>
      </c>
      <c r="L12" s="74">
        <v>22</v>
      </c>
      <c r="M12" s="74">
        <v>13</v>
      </c>
      <c r="N12" s="151" t="s">
        <v>440</v>
      </c>
      <c r="O12" s="73"/>
    </row>
  </sheetData>
  <mergeCells count="11">
    <mergeCell ref="N3:O3"/>
    <mergeCell ref="A5:O5"/>
    <mergeCell ref="A6:N6"/>
    <mergeCell ref="A7:A8"/>
    <mergeCell ref="B7:B8"/>
    <mergeCell ref="N7:N8"/>
    <mergeCell ref="O7:O8"/>
    <mergeCell ref="F7:M7"/>
    <mergeCell ref="E7:E8"/>
    <mergeCell ref="C7:C8"/>
    <mergeCell ref="D7:D8"/>
  </mergeCells>
  <printOptions horizontalCentered="1"/>
  <pageMargins left="0.11811023622047245" right="0" top="0.15748031496062992" bottom="0" header="0.31496062992125984" footer="0.31496062992125984"/>
  <pageSetup paperSize="9" scale="95"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5"/>
  <sheetViews>
    <sheetView workbookViewId="0">
      <selection activeCell="E14" sqref="E14"/>
    </sheetView>
  </sheetViews>
  <sheetFormatPr defaultRowHeight="15.6"/>
  <cols>
    <col min="1" max="1" width="4.3984375" style="294" customWidth="1"/>
    <col min="2" max="2" width="20.69921875" style="294" customWidth="1"/>
    <col min="3" max="3" width="9" style="310" customWidth="1"/>
    <col min="4" max="4" width="16.19921875" style="294" customWidth="1"/>
    <col min="5" max="5" width="8.19921875" style="294" customWidth="1"/>
    <col min="6" max="6" width="9.3984375" style="294" customWidth="1"/>
    <col min="7" max="7" width="7.3984375" style="294" customWidth="1"/>
    <col min="8" max="8" width="7.09765625" style="294" customWidth="1"/>
    <col min="9" max="9" width="7" style="294" customWidth="1"/>
    <col min="10" max="10" width="14.296875" style="294" customWidth="1"/>
    <col min="11" max="11" width="23.3984375" style="294" customWidth="1"/>
    <col min="12" max="12" width="10.09765625" style="294" customWidth="1"/>
    <col min="13" max="13" width="15.59765625" style="294" customWidth="1"/>
    <col min="14" max="14" width="8.3984375" style="294" customWidth="1"/>
    <col min="15" max="16384" width="8.796875" style="294"/>
  </cols>
  <sheetData>
    <row r="1" spans="1:14" ht="16.2">
      <c r="A1" s="291" t="s">
        <v>570</v>
      </c>
      <c r="B1" s="292"/>
      <c r="C1" s="293"/>
      <c r="D1" s="292"/>
      <c r="E1" s="292"/>
      <c r="F1" s="292"/>
      <c r="G1" s="292"/>
      <c r="H1" s="292"/>
      <c r="I1" s="292"/>
      <c r="J1" s="292"/>
      <c r="K1" s="292"/>
      <c r="L1" s="465"/>
      <c r="M1" s="465"/>
      <c r="N1" s="292"/>
    </row>
    <row r="2" spans="1:14">
      <c r="A2" s="295" t="s">
        <v>568</v>
      </c>
      <c r="B2" s="292"/>
      <c r="C2" s="293"/>
      <c r="D2" s="292"/>
      <c r="E2" s="292"/>
      <c r="F2" s="292"/>
      <c r="G2" s="292"/>
      <c r="H2" s="292"/>
      <c r="I2" s="292"/>
      <c r="J2" s="292"/>
      <c r="K2" s="292"/>
      <c r="L2" s="292"/>
      <c r="M2" s="292"/>
      <c r="N2" s="292"/>
    </row>
    <row r="3" spans="1:14" ht="16.8">
      <c r="A3" s="499" t="s">
        <v>256</v>
      </c>
      <c r="B3" s="500"/>
      <c r="C3" s="500"/>
      <c r="D3" s="500"/>
      <c r="E3" s="500"/>
      <c r="F3" s="500"/>
      <c r="G3" s="500"/>
      <c r="H3" s="500"/>
      <c r="I3" s="500"/>
      <c r="J3" s="500"/>
      <c r="K3" s="500"/>
      <c r="L3" s="500"/>
      <c r="M3" s="500"/>
      <c r="N3" s="500"/>
    </row>
    <row r="4" spans="1:14" ht="16.8">
      <c r="A4" s="296"/>
      <c r="B4" s="297"/>
      <c r="C4" s="298"/>
      <c r="D4" s="297"/>
      <c r="E4" s="297"/>
      <c r="F4" s="297"/>
      <c r="G4" s="297"/>
      <c r="H4" s="297"/>
      <c r="I4" s="297"/>
      <c r="J4" s="297"/>
      <c r="K4" s="297"/>
      <c r="L4" s="297"/>
      <c r="M4" s="297"/>
      <c r="N4" s="297"/>
    </row>
    <row r="5" spans="1:14">
      <c r="A5" s="292"/>
      <c r="B5" s="292"/>
      <c r="C5" s="293"/>
      <c r="D5" s="292"/>
      <c r="E5" s="292"/>
      <c r="F5" s="292"/>
      <c r="G5" s="292"/>
      <c r="H5" s="292"/>
      <c r="I5" s="292"/>
      <c r="J5" s="292"/>
      <c r="K5" s="292"/>
      <c r="L5" s="292"/>
      <c r="M5" s="292"/>
      <c r="N5" s="292"/>
    </row>
    <row r="6" spans="1:14" s="299" customFormat="1" ht="32.4" customHeight="1">
      <c r="A6" s="501" t="s">
        <v>158</v>
      </c>
      <c r="B6" s="502" t="s">
        <v>239</v>
      </c>
      <c r="C6" s="506" t="s">
        <v>240</v>
      </c>
      <c r="D6" s="502" t="s">
        <v>218</v>
      </c>
      <c r="E6" s="502" t="s">
        <v>238</v>
      </c>
      <c r="F6" s="503" t="s">
        <v>237</v>
      </c>
      <c r="G6" s="504"/>
      <c r="H6" s="504"/>
      <c r="I6" s="505"/>
      <c r="J6" s="501" t="s">
        <v>217</v>
      </c>
      <c r="K6" s="501"/>
      <c r="L6" s="501"/>
      <c r="M6" s="501"/>
      <c r="N6" s="501"/>
    </row>
    <row r="7" spans="1:14" s="299" customFormat="1" ht="46.8">
      <c r="A7" s="501"/>
      <c r="B7" s="502"/>
      <c r="C7" s="506"/>
      <c r="D7" s="502"/>
      <c r="E7" s="502"/>
      <c r="F7" s="152" t="s">
        <v>236</v>
      </c>
      <c r="G7" s="152" t="s">
        <v>234</v>
      </c>
      <c r="H7" s="152" t="s">
        <v>235</v>
      </c>
      <c r="I7" s="152" t="s">
        <v>174</v>
      </c>
      <c r="J7" s="152" t="s">
        <v>229</v>
      </c>
      <c r="K7" s="152" t="s">
        <v>230</v>
      </c>
      <c r="L7" s="152" t="s">
        <v>231</v>
      </c>
      <c r="M7" s="152" t="s">
        <v>232</v>
      </c>
      <c r="N7" s="152" t="s">
        <v>233</v>
      </c>
    </row>
    <row r="8" spans="1:14" s="301" customFormat="1">
      <c r="A8" s="132" t="s">
        <v>51</v>
      </c>
      <c r="B8" s="131">
        <v>1</v>
      </c>
      <c r="C8" s="300">
        <v>2</v>
      </c>
      <c r="D8" s="131">
        <v>3</v>
      </c>
      <c r="E8" s="131">
        <v>4</v>
      </c>
      <c r="F8" s="131">
        <v>5</v>
      </c>
      <c r="G8" s="131">
        <v>6</v>
      </c>
      <c r="H8" s="131">
        <v>7</v>
      </c>
      <c r="I8" s="131">
        <v>8</v>
      </c>
      <c r="J8" s="131">
        <v>9</v>
      </c>
      <c r="K8" s="153">
        <v>10</v>
      </c>
      <c r="L8" s="131">
        <v>11</v>
      </c>
      <c r="M8" s="131">
        <v>12</v>
      </c>
      <c r="N8" s="153">
        <v>13</v>
      </c>
    </row>
    <row r="9" spans="1:14" s="306" customFormat="1" ht="21.6" customHeight="1">
      <c r="A9" s="302">
        <v>1</v>
      </c>
      <c r="B9" s="303" t="s">
        <v>355</v>
      </c>
      <c r="C9" s="304">
        <v>1241</v>
      </c>
      <c r="D9" s="305" t="s">
        <v>356</v>
      </c>
      <c r="E9" s="305">
        <v>2015</v>
      </c>
      <c r="F9" s="302">
        <f>+G9+H9+I9</f>
        <v>20</v>
      </c>
      <c r="G9" s="302">
        <v>5</v>
      </c>
      <c r="H9" s="302">
        <v>5</v>
      </c>
      <c r="I9" s="302">
        <v>10</v>
      </c>
      <c r="J9" s="302" t="s">
        <v>357</v>
      </c>
      <c r="K9" s="302" t="s">
        <v>439</v>
      </c>
      <c r="L9" s="302" t="s">
        <v>358</v>
      </c>
      <c r="M9" s="302" t="s">
        <v>359</v>
      </c>
      <c r="N9" s="302">
        <v>80</v>
      </c>
    </row>
    <row r="10" spans="1:14" s="306" customFormat="1" ht="21.6" customHeight="1">
      <c r="A10" s="302">
        <v>2</v>
      </c>
      <c r="B10" s="303" t="s">
        <v>360</v>
      </c>
      <c r="C10" s="304">
        <v>1208</v>
      </c>
      <c r="D10" s="305" t="s">
        <v>361</v>
      </c>
      <c r="E10" s="305">
        <v>2015</v>
      </c>
      <c r="F10" s="302">
        <f t="shared" ref="F10:F73" si="0">+G10+H10+I10</f>
        <v>20</v>
      </c>
      <c r="G10" s="302">
        <v>5</v>
      </c>
      <c r="H10" s="302">
        <v>5</v>
      </c>
      <c r="I10" s="302">
        <v>10</v>
      </c>
      <c r="J10" s="302" t="s">
        <v>357</v>
      </c>
      <c r="K10" s="302" t="s">
        <v>439</v>
      </c>
      <c r="L10" s="302" t="s">
        <v>358</v>
      </c>
      <c r="M10" s="302" t="s">
        <v>359</v>
      </c>
      <c r="N10" s="302">
        <v>85</v>
      </c>
    </row>
    <row r="11" spans="1:14" s="306" customFormat="1" ht="21.6" customHeight="1">
      <c r="A11" s="302">
        <v>3</v>
      </c>
      <c r="B11" s="303" t="s">
        <v>362</v>
      </c>
      <c r="C11" s="304">
        <v>1518</v>
      </c>
      <c r="D11" s="305" t="s">
        <v>363</v>
      </c>
      <c r="E11" s="305">
        <v>2015</v>
      </c>
      <c r="F11" s="302">
        <f t="shared" si="0"/>
        <v>20</v>
      </c>
      <c r="G11" s="302">
        <v>5</v>
      </c>
      <c r="H11" s="302">
        <v>5</v>
      </c>
      <c r="I11" s="302">
        <v>10</v>
      </c>
      <c r="J11" s="302" t="s">
        <v>357</v>
      </c>
      <c r="K11" s="302" t="s">
        <v>439</v>
      </c>
      <c r="L11" s="302" t="s">
        <v>358</v>
      </c>
      <c r="M11" s="302" t="s">
        <v>359</v>
      </c>
      <c r="N11" s="302">
        <v>100</v>
      </c>
    </row>
    <row r="12" spans="1:14" s="306" customFormat="1" ht="21.6" customHeight="1">
      <c r="A12" s="302">
        <v>4</v>
      </c>
      <c r="B12" s="303" t="s">
        <v>364</v>
      </c>
      <c r="C12" s="304">
        <v>1300</v>
      </c>
      <c r="D12" s="305" t="s">
        <v>365</v>
      </c>
      <c r="E12" s="305">
        <v>2015</v>
      </c>
      <c r="F12" s="302">
        <f t="shared" si="0"/>
        <v>20</v>
      </c>
      <c r="G12" s="302">
        <v>5</v>
      </c>
      <c r="H12" s="302">
        <v>5</v>
      </c>
      <c r="I12" s="302">
        <v>10</v>
      </c>
      <c r="J12" s="302" t="s">
        <v>357</v>
      </c>
      <c r="K12" s="302" t="s">
        <v>439</v>
      </c>
      <c r="L12" s="302" t="s">
        <v>358</v>
      </c>
      <c r="M12" s="302" t="s">
        <v>359</v>
      </c>
      <c r="N12" s="302">
        <v>90</v>
      </c>
    </row>
    <row r="13" spans="1:14" s="306" customFormat="1" ht="21.6" customHeight="1">
      <c r="A13" s="302">
        <v>5</v>
      </c>
      <c r="B13" s="303" t="s">
        <v>366</v>
      </c>
      <c r="C13" s="304">
        <v>2227</v>
      </c>
      <c r="D13" s="305" t="s">
        <v>367</v>
      </c>
      <c r="E13" s="305">
        <v>2015</v>
      </c>
      <c r="F13" s="302">
        <f t="shared" si="0"/>
        <v>20</v>
      </c>
      <c r="G13" s="302">
        <v>5</v>
      </c>
      <c r="H13" s="302">
        <v>5</v>
      </c>
      <c r="I13" s="302">
        <v>10</v>
      </c>
      <c r="J13" s="302" t="s">
        <v>357</v>
      </c>
      <c r="K13" s="302" t="s">
        <v>439</v>
      </c>
      <c r="L13" s="302" t="s">
        <v>358</v>
      </c>
      <c r="M13" s="302" t="s">
        <v>359</v>
      </c>
      <c r="N13" s="302">
        <v>83</v>
      </c>
    </row>
    <row r="14" spans="1:14" s="306" customFormat="1" ht="21.6" customHeight="1">
      <c r="A14" s="302">
        <v>6</v>
      </c>
      <c r="B14" s="303" t="s">
        <v>368</v>
      </c>
      <c r="C14" s="304">
        <v>1950</v>
      </c>
      <c r="D14" s="305" t="s">
        <v>369</v>
      </c>
      <c r="E14" s="305">
        <v>2018</v>
      </c>
      <c r="F14" s="302">
        <f t="shared" si="0"/>
        <v>20</v>
      </c>
      <c r="G14" s="302">
        <v>5</v>
      </c>
      <c r="H14" s="302">
        <v>5</v>
      </c>
      <c r="I14" s="302">
        <v>10</v>
      </c>
      <c r="J14" s="302" t="s">
        <v>357</v>
      </c>
      <c r="K14" s="302" t="s">
        <v>439</v>
      </c>
      <c r="L14" s="302" t="s">
        <v>358</v>
      </c>
      <c r="M14" s="302" t="s">
        <v>359</v>
      </c>
      <c r="N14" s="302">
        <v>80</v>
      </c>
    </row>
    <row r="15" spans="1:14" s="306" customFormat="1" ht="21.6" customHeight="1">
      <c r="A15" s="302">
        <v>7</v>
      </c>
      <c r="B15" s="303" t="s">
        <v>370</v>
      </c>
      <c r="C15" s="304">
        <v>700</v>
      </c>
      <c r="D15" s="305" t="s">
        <v>371</v>
      </c>
      <c r="E15" s="305">
        <v>2018</v>
      </c>
      <c r="F15" s="302">
        <f t="shared" si="0"/>
        <v>10</v>
      </c>
      <c r="G15" s="302">
        <v>0</v>
      </c>
      <c r="H15" s="302">
        <v>5</v>
      </c>
      <c r="I15" s="302">
        <v>5</v>
      </c>
      <c r="J15" s="302" t="s">
        <v>357</v>
      </c>
      <c r="K15" s="302" t="s">
        <v>439</v>
      </c>
      <c r="L15" s="302" t="s">
        <v>358</v>
      </c>
      <c r="M15" s="302" t="s">
        <v>359</v>
      </c>
      <c r="N15" s="302">
        <v>60</v>
      </c>
    </row>
    <row r="16" spans="1:14" s="306" customFormat="1" ht="21.6" customHeight="1">
      <c r="A16" s="302">
        <v>8</v>
      </c>
      <c r="B16" s="303" t="s">
        <v>372</v>
      </c>
      <c r="C16" s="304">
        <v>1200</v>
      </c>
      <c r="D16" s="305" t="s">
        <v>373</v>
      </c>
      <c r="E16" s="305">
        <v>2018</v>
      </c>
      <c r="F16" s="302">
        <f t="shared" si="0"/>
        <v>20</v>
      </c>
      <c r="G16" s="302">
        <v>5</v>
      </c>
      <c r="H16" s="302">
        <v>5</v>
      </c>
      <c r="I16" s="302">
        <v>10</v>
      </c>
      <c r="J16" s="302" t="s">
        <v>357</v>
      </c>
      <c r="K16" s="302" t="s">
        <v>439</v>
      </c>
      <c r="L16" s="302" t="s">
        <v>358</v>
      </c>
      <c r="M16" s="302" t="s">
        <v>359</v>
      </c>
      <c r="N16" s="302">
        <v>81</v>
      </c>
    </row>
    <row r="17" spans="1:14" s="306" customFormat="1" ht="21.6" customHeight="1">
      <c r="A17" s="302">
        <v>9</v>
      </c>
      <c r="B17" s="303" t="s">
        <v>374</v>
      </c>
      <c r="C17" s="304">
        <v>1000</v>
      </c>
      <c r="D17" s="305" t="s">
        <v>375</v>
      </c>
      <c r="E17" s="305">
        <v>2018</v>
      </c>
      <c r="F17" s="302">
        <f t="shared" si="0"/>
        <v>20</v>
      </c>
      <c r="G17" s="302">
        <v>5</v>
      </c>
      <c r="H17" s="302">
        <v>5</v>
      </c>
      <c r="I17" s="302">
        <v>10</v>
      </c>
      <c r="J17" s="302" t="s">
        <v>357</v>
      </c>
      <c r="K17" s="302" t="s">
        <v>439</v>
      </c>
      <c r="L17" s="302" t="s">
        <v>358</v>
      </c>
      <c r="M17" s="302" t="s">
        <v>359</v>
      </c>
      <c r="N17" s="302">
        <v>90</v>
      </c>
    </row>
    <row r="18" spans="1:14" s="306" customFormat="1" ht="21.6" customHeight="1">
      <c r="A18" s="302">
        <v>10</v>
      </c>
      <c r="B18" s="303" t="s">
        <v>376</v>
      </c>
      <c r="C18" s="304">
        <v>700</v>
      </c>
      <c r="D18" s="305" t="s">
        <v>373</v>
      </c>
      <c r="E18" s="305">
        <v>2018</v>
      </c>
      <c r="F18" s="302">
        <f t="shared" si="0"/>
        <v>10</v>
      </c>
      <c r="G18" s="302">
        <v>0</v>
      </c>
      <c r="H18" s="302">
        <v>5</v>
      </c>
      <c r="I18" s="302">
        <v>5</v>
      </c>
      <c r="J18" s="302" t="s">
        <v>357</v>
      </c>
      <c r="K18" s="302" t="s">
        <v>439</v>
      </c>
      <c r="L18" s="302" t="s">
        <v>358</v>
      </c>
      <c r="M18" s="302" t="s">
        <v>359</v>
      </c>
      <c r="N18" s="302">
        <v>65</v>
      </c>
    </row>
    <row r="19" spans="1:14" s="306" customFormat="1" ht="21.6" customHeight="1">
      <c r="A19" s="302">
        <v>11</v>
      </c>
      <c r="B19" s="303" t="s">
        <v>377</v>
      </c>
      <c r="C19" s="304">
        <v>914</v>
      </c>
      <c r="D19" s="305" t="s">
        <v>369</v>
      </c>
      <c r="E19" s="305">
        <v>2019</v>
      </c>
      <c r="F19" s="302">
        <f t="shared" si="0"/>
        <v>10</v>
      </c>
      <c r="G19" s="302">
        <v>0</v>
      </c>
      <c r="H19" s="302">
        <v>5</v>
      </c>
      <c r="I19" s="302">
        <v>5</v>
      </c>
      <c r="J19" s="302" t="s">
        <v>357</v>
      </c>
      <c r="K19" s="302" t="s">
        <v>439</v>
      </c>
      <c r="L19" s="302" t="s">
        <v>358</v>
      </c>
      <c r="M19" s="302" t="s">
        <v>359</v>
      </c>
      <c r="N19" s="302">
        <v>80</v>
      </c>
    </row>
    <row r="20" spans="1:14" s="306" customFormat="1" ht="21.6" customHeight="1">
      <c r="A20" s="302">
        <v>12</v>
      </c>
      <c r="B20" s="303" t="s">
        <v>378</v>
      </c>
      <c r="C20" s="304">
        <v>1000</v>
      </c>
      <c r="D20" s="305" t="s">
        <v>375</v>
      </c>
      <c r="E20" s="305">
        <v>2019</v>
      </c>
      <c r="F20" s="302">
        <f t="shared" si="0"/>
        <v>20</v>
      </c>
      <c r="G20" s="302">
        <v>5</v>
      </c>
      <c r="H20" s="302">
        <v>5</v>
      </c>
      <c r="I20" s="302">
        <v>10</v>
      </c>
      <c r="J20" s="302" t="s">
        <v>357</v>
      </c>
      <c r="K20" s="302" t="s">
        <v>439</v>
      </c>
      <c r="L20" s="302" t="s">
        <v>358</v>
      </c>
      <c r="M20" s="302" t="s">
        <v>359</v>
      </c>
      <c r="N20" s="302">
        <v>85</v>
      </c>
    </row>
    <row r="21" spans="1:14" s="306" customFormat="1" ht="21.6" customHeight="1">
      <c r="A21" s="302">
        <v>13</v>
      </c>
      <c r="B21" s="303" t="s">
        <v>379</v>
      </c>
      <c r="C21" s="304">
        <v>1020</v>
      </c>
      <c r="D21" s="305" t="s">
        <v>371</v>
      </c>
      <c r="E21" s="305">
        <v>2019</v>
      </c>
      <c r="F21" s="302">
        <f t="shared" si="0"/>
        <v>20</v>
      </c>
      <c r="G21" s="302">
        <v>5</v>
      </c>
      <c r="H21" s="302">
        <v>5</v>
      </c>
      <c r="I21" s="302">
        <v>10</v>
      </c>
      <c r="J21" s="302" t="s">
        <v>357</v>
      </c>
      <c r="K21" s="302" t="s">
        <v>439</v>
      </c>
      <c r="L21" s="302" t="s">
        <v>358</v>
      </c>
      <c r="M21" s="302" t="s">
        <v>359</v>
      </c>
      <c r="N21" s="302">
        <v>80</v>
      </c>
    </row>
    <row r="22" spans="1:14" s="306" customFormat="1" ht="21.6" customHeight="1">
      <c r="A22" s="302">
        <v>14</v>
      </c>
      <c r="B22" s="303" t="s">
        <v>380</v>
      </c>
      <c r="C22" s="304">
        <v>1500</v>
      </c>
      <c r="D22" s="305" t="s">
        <v>371</v>
      </c>
      <c r="E22" s="305">
        <v>2019</v>
      </c>
      <c r="F22" s="302">
        <f t="shared" si="0"/>
        <v>20</v>
      </c>
      <c r="G22" s="302">
        <v>5</v>
      </c>
      <c r="H22" s="302">
        <v>5</v>
      </c>
      <c r="I22" s="302">
        <v>10</v>
      </c>
      <c r="J22" s="302" t="s">
        <v>357</v>
      </c>
      <c r="K22" s="302" t="s">
        <v>439</v>
      </c>
      <c r="L22" s="302" t="s">
        <v>358</v>
      </c>
      <c r="M22" s="302" t="s">
        <v>359</v>
      </c>
      <c r="N22" s="302">
        <v>80</v>
      </c>
    </row>
    <row r="23" spans="1:14" s="306" customFormat="1" ht="21.6" customHeight="1">
      <c r="A23" s="302">
        <v>15</v>
      </c>
      <c r="B23" s="303" t="s">
        <v>381</v>
      </c>
      <c r="C23" s="304">
        <v>1024</v>
      </c>
      <c r="D23" s="305" t="s">
        <v>371</v>
      </c>
      <c r="E23" s="305">
        <v>2019</v>
      </c>
      <c r="F23" s="302">
        <f t="shared" si="0"/>
        <v>20</v>
      </c>
      <c r="G23" s="302">
        <v>5</v>
      </c>
      <c r="H23" s="302">
        <v>5</v>
      </c>
      <c r="I23" s="302">
        <v>10</v>
      </c>
      <c r="J23" s="302" t="s">
        <v>357</v>
      </c>
      <c r="K23" s="302" t="s">
        <v>439</v>
      </c>
      <c r="L23" s="302" t="s">
        <v>358</v>
      </c>
      <c r="M23" s="302" t="s">
        <v>359</v>
      </c>
      <c r="N23" s="302">
        <v>86</v>
      </c>
    </row>
    <row r="24" spans="1:14" s="306" customFormat="1" ht="21.6" customHeight="1">
      <c r="A24" s="302">
        <v>16</v>
      </c>
      <c r="B24" s="303" t="s">
        <v>382</v>
      </c>
      <c r="C24" s="304">
        <v>2000</v>
      </c>
      <c r="D24" s="305" t="s">
        <v>373</v>
      </c>
      <c r="E24" s="305">
        <v>2019</v>
      </c>
      <c r="F24" s="302">
        <f t="shared" si="0"/>
        <v>20</v>
      </c>
      <c r="G24" s="302">
        <v>5</v>
      </c>
      <c r="H24" s="302">
        <v>5</v>
      </c>
      <c r="I24" s="302">
        <v>10</v>
      </c>
      <c r="J24" s="302" t="s">
        <v>357</v>
      </c>
      <c r="K24" s="302" t="s">
        <v>439</v>
      </c>
      <c r="L24" s="302" t="s">
        <v>358</v>
      </c>
      <c r="M24" s="302" t="s">
        <v>359</v>
      </c>
      <c r="N24" s="302">
        <v>80</v>
      </c>
    </row>
    <row r="25" spans="1:14" s="306" customFormat="1" ht="21.6" customHeight="1">
      <c r="A25" s="302">
        <v>17</v>
      </c>
      <c r="B25" s="303" t="s">
        <v>383</v>
      </c>
      <c r="C25" s="304">
        <v>957</v>
      </c>
      <c r="D25" s="305" t="s">
        <v>371</v>
      </c>
      <c r="E25" s="305">
        <v>2019</v>
      </c>
      <c r="F25" s="302">
        <f t="shared" si="0"/>
        <v>15</v>
      </c>
      <c r="G25" s="302">
        <v>5</v>
      </c>
      <c r="H25" s="302">
        <v>5</v>
      </c>
      <c r="I25" s="302">
        <v>5</v>
      </c>
      <c r="J25" s="302" t="s">
        <v>357</v>
      </c>
      <c r="K25" s="302" t="s">
        <v>439</v>
      </c>
      <c r="L25" s="302" t="s">
        <v>358</v>
      </c>
      <c r="M25" s="302" t="s">
        <v>359</v>
      </c>
      <c r="N25" s="302">
        <v>70</v>
      </c>
    </row>
    <row r="26" spans="1:14" s="306" customFormat="1" ht="21.6" customHeight="1">
      <c r="A26" s="302">
        <v>18</v>
      </c>
      <c r="B26" s="303" t="s">
        <v>384</v>
      </c>
      <c r="C26" s="304">
        <v>765</v>
      </c>
      <c r="D26" s="305" t="s">
        <v>385</v>
      </c>
      <c r="E26" s="305">
        <v>2019</v>
      </c>
      <c r="F26" s="302">
        <f t="shared" si="0"/>
        <v>15</v>
      </c>
      <c r="G26" s="302">
        <v>5</v>
      </c>
      <c r="H26" s="302">
        <v>5</v>
      </c>
      <c r="I26" s="302">
        <v>5</v>
      </c>
      <c r="J26" s="302" t="s">
        <v>357</v>
      </c>
      <c r="K26" s="302" t="s">
        <v>439</v>
      </c>
      <c r="L26" s="302" t="s">
        <v>358</v>
      </c>
      <c r="M26" s="302" t="s">
        <v>359</v>
      </c>
      <c r="N26" s="302">
        <v>70</v>
      </c>
    </row>
    <row r="27" spans="1:14" s="306" customFormat="1" ht="21.6" customHeight="1">
      <c r="A27" s="302">
        <v>19</v>
      </c>
      <c r="B27" s="303" t="s">
        <v>386</v>
      </c>
      <c r="C27" s="304">
        <v>2000</v>
      </c>
      <c r="D27" s="305" t="s">
        <v>356</v>
      </c>
      <c r="E27" s="305">
        <v>2019</v>
      </c>
      <c r="F27" s="302">
        <f t="shared" si="0"/>
        <v>20</v>
      </c>
      <c r="G27" s="302">
        <v>5</v>
      </c>
      <c r="H27" s="302">
        <v>5</v>
      </c>
      <c r="I27" s="302">
        <v>10</v>
      </c>
      <c r="J27" s="302" t="s">
        <v>357</v>
      </c>
      <c r="K27" s="302" t="s">
        <v>439</v>
      </c>
      <c r="L27" s="302" t="s">
        <v>358</v>
      </c>
      <c r="M27" s="302" t="s">
        <v>359</v>
      </c>
      <c r="N27" s="302">
        <v>80</v>
      </c>
    </row>
    <row r="28" spans="1:14" s="306" customFormat="1" ht="21.6" customHeight="1">
      <c r="A28" s="302">
        <v>20</v>
      </c>
      <c r="B28" s="303" t="s">
        <v>387</v>
      </c>
      <c r="C28" s="304">
        <v>1644</v>
      </c>
      <c r="D28" s="305" t="s">
        <v>388</v>
      </c>
      <c r="E28" s="305">
        <v>2019</v>
      </c>
      <c r="F28" s="302">
        <f t="shared" si="0"/>
        <v>20</v>
      </c>
      <c r="G28" s="302">
        <v>5</v>
      </c>
      <c r="H28" s="302">
        <v>5</v>
      </c>
      <c r="I28" s="302">
        <v>10</v>
      </c>
      <c r="J28" s="302" t="s">
        <v>357</v>
      </c>
      <c r="K28" s="302" t="s">
        <v>439</v>
      </c>
      <c r="L28" s="302" t="s">
        <v>358</v>
      </c>
      <c r="M28" s="302" t="s">
        <v>359</v>
      </c>
      <c r="N28" s="302">
        <v>80</v>
      </c>
    </row>
    <row r="29" spans="1:14" s="306" customFormat="1" ht="21.6" customHeight="1">
      <c r="A29" s="302">
        <v>21</v>
      </c>
      <c r="B29" s="303" t="s">
        <v>389</v>
      </c>
      <c r="C29" s="304">
        <v>1377</v>
      </c>
      <c r="D29" s="305" t="s">
        <v>388</v>
      </c>
      <c r="E29" s="305">
        <v>2019</v>
      </c>
      <c r="F29" s="302">
        <f t="shared" si="0"/>
        <v>20</v>
      </c>
      <c r="G29" s="302">
        <v>5</v>
      </c>
      <c r="H29" s="302">
        <v>5</v>
      </c>
      <c r="I29" s="302">
        <v>10</v>
      </c>
      <c r="J29" s="302" t="s">
        <v>357</v>
      </c>
      <c r="K29" s="302" t="s">
        <v>439</v>
      </c>
      <c r="L29" s="302" t="s">
        <v>358</v>
      </c>
      <c r="M29" s="302" t="s">
        <v>359</v>
      </c>
      <c r="N29" s="302">
        <v>80</v>
      </c>
    </row>
    <row r="30" spans="1:14" s="306" customFormat="1" ht="21.6" customHeight="1">
      <c r="A30" s="302">
        <v>22</v>
      </c>
      <c r="B30" s="303" t="s">
        <v>390</v>
      </c>
      <c r="C30" s="304">
        <v>1596</v>
      </c>
      <c r="D30" s="305" t="s">
        <v>373</v>
      </c>
      <c r="E30" s="305">
        <v>2019</v>
      </c>
      <c r="F30" s="302">
        <f t="shared" si="0"/>
        <v>20</v>
      </c>
      <c r="G30" s="302">
        <v>5</v>
      </c>
      <c r="H30" s="302">
        <v>5</v>
      </c>
      <c r="I30" s="302">
        <v>10</v>
      </c>
      <c r="J30" s="302" t="s">
        <v>357</v>
      </c>
      <c r="K30" s="302" t="s">
        <v>439</v>
      </c>
      <c r="L30" s="302" t="s">
        <v>358</v>
      </c>
      <c r="M30" s="302" t="s">
        <v>359</v>
      </c>
      <c r="N30" s="302">
        <v>80</v>
      </c>
    </row>
    <row r="31" spans="1:14" s="306" customFormat="1" ht="21.6" customHeight="1">
      <c r="A31" s="302">
        <v>23</v>
      </c>
      <c r="B31" s="303" t="s">
        <v>391</v>
      </c>
      <c r="C31" s="304">
        <v>1100</v>
      </c>
      <c r="D31" s="305" t="s">
        <v>373</v>
      </c>
      <c r="E31" s="305">
        <v>2019</v>
      </c>
      <c r="F31" s="302">
        <f t="shared" si="0"/>
        <v>20</v>
      </c>
      <c r="G31" s="302">
        <v>5</v>
      </c>
      <c r="H31" s="302">
        <v>5</v>
      </c>
      <c r="I31" s="302">
        <v>10</v>
      </c>
      <c r="J31" s="302" t="s">
        <v>357</v>
      </c>
      <c r="K31" s="302" t="s">
        <v>439</v>
      </c>
      <c r="L31" s="302" t="s">
        <v>358</v>
      </c>
      <c r="M31" s="302" t="s">
        <v>359</v>
      </c>
      <c r="N31" s="302">
        <v>80</v>
      </c>
    </row>
    <row r="32" spans="1:14" s="306" customFormat="1" ht="21.6" customHeight="1">
      <c r="A32" s="302">
        <v>24</v>
      </c>
      <c r="B32" s="303" t="s">
        <v>392</v>
      </c>
      <c r="C32" s="304">
        <v>1600</v>
      </c>
      <c r="D32" s="305" t="s">
        <v>367</v>
      </c>
      <c r="E32" s="305">
        <v>2019</v>
      </c>
      <c r="F32" s="302">
        <f t="shared" si="0"/>
        <v>20</v>
      </c>
      <c r="G32" s="302">
        <v>5</v>
      </c>
      <c r="H32" s="302">
        <v>5</v>
      </c>
      <c r="I32" s="302">
        <v>10</v>
      </c>
      <c r="J32" s="302" t="s">
        <v>357</v>
      </c>
      <c r="K32" s="302" t="s">
        <v>439</v>
      </c>
      <c r="L32" s="302" t="s">
        <v>358</v>
      </c>
      <c r="M32" s="302" t="s">
        <v>359</v>
      </c>
      <c r="N32" s="302">
        <v>80</v>
      </c>
    </row>
    <row r="33" spans="1:14" s="306" customFormat="1" ht="21.6" customHeight="1">
      <c r="A33" s="302">
        <v>25</v>
      </c>
      <c r="B33" s="303" t="s">
        <v>393</v>
      </c>
      <c r="C33" s="304">
        <v>1004</v>
      </c>
      <c r="D33" s="305" t="s">
        <v>365</v>
      </c>
      <c r="E33" s="305">
        <v>2019</v>
      </c>
      <c r="F33" s="302">
        <f t="shared" si="0"/>
        <v>20</v>
      </c>
      <c r="G33" s="302">
        <v>5</v>
      </c>
      <c r="H33" s="302">
        <v>5</v>
      </c>
      <c r="I33" s="302">
        <v>10</v>
      </c>
      <c r="J33" s="302" t="s">
        <v>357</v>
      </c>
      <c r="K33" s="302" t="s">
        <v>439</v>
      </c>
      <c r="L33" s="302" t="s">
        <v>358</v>
      </c>
      <c r="M33" s="302" t="s">
        <v>359</v>
      </c>
      <c r="N33" s="302">
        <v>80</v>
      </c>
    </row>
    <row r="34" spans="1:14" s="306" customFormat="1" ht="21.6" customHeight="1">
      <c r="A34" s="302">
        <v>26</v>
      </c>
      <c r="B34" s="303" t="s">
        <v>394</v>
      </c>
      <c r="C34" s="304">
        <v>750</v>
      </c>
      <c r="D34" s="305" t="s">
        <v>375</v>
      </c>
      <c r="E34" s="305">
        <v>2019</v>
      </c>
      <c r="F34" s="302">
        <f t="shared" si="0"/>
        <v>15</v>
      </c>
      <c r="G34" s="302">
        <v>5</v>
      </c>
      <c r="H34" s="302">
        <v>5</v>
      </c>
      <c r="I34" s="302">
        <v>5</v>
      </c>
      <c r="J34" s="302" t="s">
        <v>357</v>
      </c>
      <c r="K34" s="302" t="s">
        <v>439</v>
      </c>
      <c r="L34" s="302" t="s">
        <v>358</v>
      </c>
      <c r="M34" s="302" t="s">
        <v>359</v>
      </c>
      <c r="N34" s="302">
        <v>60</v>
      </c>
    </row>
    <row r="35" spans="1:14" s="306" customFormat="1" ht="21.6" customHeight="1">
      <c r="A35" s="302">
        <v>27</v>
      </c>
      <c r="B35" s="303" t="s">
        <v>395</v>
      </c>
      <c r="C35" s="304">
        <v>823</v>
      </c>
      <c r="D35" s="305" t="s">
        <v>385</v>
      </c>
      <c r="E35" s="305">
        <v>2019</v>
      </c>
      <c r="F35" s="302">
        <f t="shared" si="0"/>
        <v>15</v>
      </c>
      <c r="G35" s="302">
        <v>5</v>
      </c>
      <c r="H35" s="302">
        <v>5</v>
      </c>
      <c r="I35" s="302">
        <v>5</v>
      </c>
      <c r="J35" s="302" t="s">
        <v>357</v>
      </c>
      <c r="K35" s="302" t="s">
        <v>439</v>
      </c>
      <c r="L35" s="302" t="s">
        <v>358</v>
      </c>
      <c r="M35" s="302" t="s">
        <v>359</v>
      </c>
      <c r="N35" s="302">
        <v>65</v>
      </c>
    </row>
    <row r="36" spans="1:14" s="306" customFormat="1" ht="21.6" customHeight="1">
      <c r="A36" s="302">
        <v>28</v>
      </c>
      <c r="B36" s="303" t="s">
        <v>396</v>
      </c>
      <c r="C36" s="304">
        <v>1107</v>
      </c>
      <c r="D36" s="305" t="s">
        <v>385</v>
      </c>
      <c r="E36" s="305">
        <v>2019</v>
      </c>
      <c r="F36" s="302">
        <f t="shared" si="0"/>
        <v>20</v>
      </c>
      <c r="G36" s="302">
        <v>5</v>
      </c>
      <c r="H36" s="302">
        <v>5</v>
      </c>
      <c r="I36" s="302">
        <v>10</v>
      </c>
      <c r="J36" s="302" t="s">
        <v>357</v>
      </c>
      <c r="K36" s="302" t="s">
        <v>439</v>
      </c>
      <c r="L36" s="302" t="s">
        <v>358</v>
      </c>
      <c r="M36" s="302" t="s">
        <v>359</v>
      </c>
      <c r="N36" s="302">
        <v>80</v>
      </c>
    </row>
    <row r="37" spans="1:14" s="306" customFormat="1" ht="21.6" customHeight="1">
      <c r="A37" s="302">
        <v>29</v>
      </c>
      <c r="B37" s="303" t="s">
        <v>397</v>
      </c>
      <c r="C37" s="304">
        <v>865</v>
      </c>
      <c r="D37" s="305" t="s">
        <v>356</v>
      </c>
      <c r="E37" s="305">
        <v>2019</v>
      </c>
      <c r="F37" s="302">
        <f t="shared" si="0"/>
        <v>15</v>
      </c>
      <c r="G37" s="302">
        <v>5</v>
      </c>
      <c r="H37" s="302">
        <v>5</v>
      </c>
      <c r="I37" s="302">
        <v>5</v>
      </c>
      <c r="J37" s="302" t="s">
        <v>357</v>
      </c>
      <c r="K37" s="302" t="s">
        <v>439</v>
      </c>
      <c r="L37" s="302" t="s">
        <v>358</v>
      </c>
      <c r="M37" s="302" t="s">
        <v>359</v>
      </c>
      <c r="N37" s="302">
        <v>60</v>
      </c>
    </row>
    <row r="38" spans="1:14" s="306" customFormat="1" ht="21.6" customHeight="1">
      <c r="A38" s="302">
        <v>30</v>
      </c>
      <c r="B38" s="303" t="s">
        <v>398</v>
      </c>
      <c r="C38" s="304">
        <v>2000</v>
      </c>
      <c r="D38" s="305" t="s">
        <v>399</v>
      </c>
      <c r="E38" s="305">
        <v>2019</v>
      </c>
      <c r="F38" s="302">
        <f t="shared" si="0"/>
        <v>20</v>
      </c>
      <c r="G38" s="302">
        <v>5</v>
      </c>
      <c r="H38" s="302">
        <v>5</v>
      </c>
      <c r="I38" s="302">
        <v>10</v>
      </c>
      <c r="J38" s="302" t="s">
        <v>357</v>
      </c>
      <c r="K38" s="302" t="s">
        <v>439</v>
      </c>
      <c r="L38" s="302" t="s">
        <v>358</v>
      </c>
      <c r="M38" s="302" t="s">
        <v>359</v>
      </c>
      <c r="N38" s="302">
        <v>80</v>
      </c>
    </row>
    <row r="39" spans="1:14" s="306" customFormat="1" ht="21.6" customHeight="1">
      <c r="A39" s="302">
        <v>31</v>
      </c>
      <c r="B39" s="303" t="s">
        <v>400</v>
      </c>
      <c r="C39" s="304">
        <v>1169</v>
      </c>
      <c r="D39" s="305" t="s">
        <v>388</v>
      </c>
      <c r="E39" s="305">
        <v>2019</v>
      </c>
      <c r="F39" s="302">
        <f t="shared" si="0"/>
        <v>20</v>
      </c>
      <c r="G39" s="302">
        <v>5</v>
      </c>
      <c r="H39" s="302">
        <v>5</v>
      </c>
      <c r="I39" s="302">
        <v>10</v>
      </c>
      <c r="J39" s="302" t="s">
        <v>357</v>
      </c>
      <c r="K39" s="302" t="s">
        <v>439</v>
      </c>
      <c r="L39" s="302" t="s">
        <v>358</v>
      </c>
      <c r="M39" s="302" t="s">
        <v>359</v>
      </c>
      <c r="N39" s="302">
        <v>80</v>
      </c>
    </row>
    <row r="40" spans="1:14" s="306" customFormat="1" ht="21.6" customHeight="1">
      <c r="A40" s="302">
        <v>32</v>
      </c>
      <c r="B40" s="303" t="s">
        <v>401</v>
      </c>
      <c r="C40" s="304">
        <v>820</v>
      </c>
      <c r="D40" s="305" t="s">
        <v>402</v>
      </c>
      <c r="E40" s="305">
        <v>2020</v>
      </c>
      <c r="F40" s="302">
        <f t="shared" si="0"/>
        <v>15</v>
      </c>
      <c r="G40" s="302">
        <v>5</v>
      </c>
      <c r="H40" s="302">
        <v>5</v>
      </c>
      <c r="I40" s="302">
        <v>5</v>
      </c>
      <c r="J40" s="302" t="s">
        <v>357</v>
      </c>
      <c r="K40" s="302" t="s">
        <v>439</v>
      </c>
      <c r="L40" s="302" t="s">
        <v>358</v>
      </c>
      <c r="M40" s="302" t="s">
        <v>359</v>
      </c>
      <c r="N40" s="302">
        <v>70</v>
      </c>
    </row>
    <row r="41" spans="1:14" s="306" customFormat="1" ht="21.6" customHeight="1">
      <c r="A41" s="302">
        <v>33</v>
      </c>
      <c r="B41" s="303" t="s">
        <v>403</v>
      </c>
      <c r="C41" s="304">
        <v>850</v>
      </c>
      <c r="D41" s="305" t="s">
        <v>402</v>
      </c>
      <c r="E41" s="305">
        <v>2020</v>
      </c>
      <c r="F41" s="302">
        <f t="shared" si="0"/>
        <v>15</v>
      </c>
      <c r="G41" s="302">
        <v>5</v>
      </c>
      <c r="H41" s="302">
        <v>5</v>
      </c>
      <c r="I41" s="302">
        <v>5</v>
      </c>
      <c r="J41" s="302" t="s">
        <v>357</v>
      </c>
      <c r="K41" s="302" t="s">
        <v>439</v>
      </c>
      <c r="L41" s="302" t="s">
        <v>358</v>
      </c>
      <c r="M41" s="302" t="s">
        <v>359</v>
      </c>
      <c r="N41" s="302">
        <v>65</v>
      </c>
    </row>
    <row r="42" spans="1:14" s="306" customFormat="1" ht="21.6" customHeight="1">
      <c r="A42" s="302">
        <v>34</v>
      </c>
      <c r="B42" s="303" t="s">
        <v>404</v>
      </c>
      <c r="C42" s="304">
        <v>1030</v>
      </c>
      <c r="D42" s="305" t="s">
        <v>367</v>
      </c>
      <c r="E42" s="305">
        <v>2020</v>
      </c>
      <c r="F42" s="302">
        <f t="shared" si="0"/>
        <v>20</v>
      </c>
      <c r="G42" s="302">
        <v>5</v>
      </c>
      <c r="H42" s="302">
        <v>5</v>
      </c>
      <c r="I42" s="302">
        <v>10</v>
      </c>
      <c r="J42" s="302" t="s">
        <v>357</v>
      </c>
      <c r="K42" s="302" t="s">
        <v>439</v>
      </c>
      <c r="L42" s="302" t="s">
        <v>358</v>
      </c>
      <c r="M42" s="302" t="s">
        <v>359</v>
      </c>
      <c r="N42" s="302">
        <v>80</v>
      </c>
    </row>
    <row r="43" spans="1:14" s="306" customFormat="1" ht="21.6" customHeight="1">
      <c r="A43" s="302">
        <v>35</v>
      </c>
      <c r="B43" s="303" t="s">
        <v>405</v>
      </c>
      <c r="C43" s="304">
        <v>2000</v>
      </c>
      <c r="D43" s="305" t="s">
        <v>367</v>
      </c>
      <c r="E43" s="305">
        <v>2020</v>
      </c>
      <c r="F43" s="302">
        <f t="shared" si="0"/>
        <v>20</v>
      </c>
      <c r="G43" s="302">
        <v>5</v>
      </c>
      <c r="H43" s="302">
        <v>5</v>
      </c>
      <c r="I43" s="302">
        <v>10</v>
      </c>
      <c r="J43" s="302" t="s">
        <v>357</v>
      </c>
      <c r="K43" s="302" t="s">
        <v>439</v>
      </c>
      <c r="L43" s="302" t="s">
        <v>358</v>
      </c>
      <c r="M43" s="302" t="s">
        <v>359</v>
      </c>
      <c r="N43" s="302">
        <v>100</v>
      </c>
    </row>
    <row r="44" spans="1:14" s="306" customFormat="1" ht="21.6" customHeight="1">
      <c r="A44" s="302">
        <v>36</v>
      </c>
      <c r="B44" s="303" t="s">
        <v>406</v>
      </c>
      <c r="C44" s="304">
        <v>1060</v>
      </c>
      <c r="D44" s="305" t="s">
        <v>371</v>
      </c>
      <c r="E44" s="305">
        <v>2020</v>
      </c>
      <c r="F44" s="302">
        <f t="shared" si="0"/>
        <v>20</v>
      </c>
      <c r="G44" s="302">
        <v>5</v>
      </c>
      <c r="H44" s="302">
        <v>5</v>
      </c>
      <c r="I44" s="302">
        <v>10</v>
      </c>
      <c r="J44" s="302" t="s">
        <v>357</v>
      </c>
      <c r="K44" s="302" t="s">
        <v>439</v>
      </c>
      <c r="L44" s="302" t="s">
        <v>358</v>
      </c>
      <c r="M44" s="302" t="s">
        <v>359</v>
      </c>
      <c r="N44" s="302">
        <v>80</v>
      </c>
    </row>
    <row r="45" spans="1:14" s="306" customFormat="1" ht="21.6" customHeight="1">
      <c r="A45" s="302">
        <v>37</v>
      </c>
      <c r="B45" s="303" t="s">
        <v>407</v>
      </c>
      <c r="C45" s="304">
        <v>1296</v>
      </c>
      <c r="D45" s="305" t="s">
        <v>371</v>
      </c>
      <c r="E45" s="305">
        <v>2020</v>
      </c>
      <c r="F45" s="302">
        <f t="shared" si="0"/>
        <v>20</v>
      </c>
      <c r="G45" s="302">
        <v>5</v>
      </c>
      <c r="H45" s="302">
        <v>5</v>
      </c>
      <c r="I45" s="302">
        <v>10</v>
      </c>
      <c r="J45" s="302" t="s">
        <v>357</v>
      </c>
      <c r="K45" s="302" t="s">
        <v>439</v>
      </c>
      <c r="L45" s="302" t="s">
        <v>358</v>
      </c>
      <c r="M45" s="302" t="s">
        <v>359</v>
      </c>
      <c r="N45" s="302">
        <v>90</v>
      </c>
    </row>
    <row r="46" spans="1:14" s="306" customFormat="1" ht="21.6" customHeight="1">
      <c r="A46" s="302">
        <v>38</v>
      </c>
      <c r="B46" s="303" t="s">
        <v>408</v>
      </c>
      <c r="C46" s="304">
        <v>1227</v>
      </c>
      <c r="D46" s="305" t="s">
        <v>388</v>
      </c>
      <c r="E46" s="305">
        <v>2020</v>
      </c>
      <c r="F46" s="302">
        <f t="shared" si="0"/>
        <v>20</v>
      </c>
      <c r="G46" s="302">
        <v>5</v>
      </c>
      <c r="H46" s="302">
        <v>5</v>
      </c>
      <c r="I46" s="302">
        <v>10</v>
      </c>
      <c r="J46" s="302" t="s">
        <v>357</v>
      </c>
      <c r="K46" s="302" t="s">
        <v>439</v>
      </c>
      <c r="L46" s="302" t="s">
        <v>358</v>
      </c>
      <c r="M46" s="302" t="s">
        <v>359</v>
      </c>
      <c r="N46" s="302">
        <v>80</v>
      </c>
    </row>
    <row r="47" spans="1:14" s="306" customFormat="1" ht="21.6" customHeight="1">
      <c r="A47" s="302">
        <v>39</v>
      </c>
      <c r="B47" s="303" t="s">
        <v>409</v>
      </c>
      <c r="C47" s="304">
        <v>1641</v>
      </c>
      <c r="D47" s="305" t="s">
        <v>356</v>
      </c>
      <c r="E47" s="305">
        <v>2020</v>
      </c>
      <c r="F47" s="302">
        <f t="shared" si="0"/>
        <v>20</v>
      </c>
      <c r="G47" s="302">
        <v>5</v>
      </c>
      <c r="H47" s="302">
        <v>5</v>
      </c>
      <c r="I47" s="302">
        <v>10</v>
      </c>
      <c r="J47" s="302" t="s">
        <v>357</v>
      </c>
      <c r="K47" s="302" t="s">
        <v>439</v>
      </c>
      <c r="L47" s="302" t="s">
        <v>358</v>
      </c>
      <c r="M47" s="302" t="s">
        <v>359</v>
      </c>
      <c r="N47" s="302">
        <v>80</v>
      </c>
    </row>
    <row r="48" spans="1:14" s="306" customFormat="1" ht="21.6" customHeight="1">
      <c r="A48" s="302">
        <v>40</v>
      </c>
      <c r="B48" s="303" t="s">
        <v>410</v>
      </c>
      <c r="C48" s="304">
        <v>800</v>
      </c>
      <c r="D48" s="305" t="s">
        <v>385</v>
      </c>
      <c r="E48" s="305">
        <v>2020</v>
      </c>
      <c r="F48" s="302">
        <f t="shared" si="0"/>
        <v>15</v>
      </c>
      <c r="G48" s="302">
        <v>5</v>
      </c>
      <c r="H48" s="302">
        <v>5</v>
      </c>
      <c r="I48" s="302">
        <v>5</v>
      </c>
      <c r="J48" s="302" t="s">
        <v>357</v>
      </c>
      <c r="K48" s="302" t="s">
        <v>439</v>
      </c>
      <c r="L48" s="302" t="s">
        <v>358</v>
      </c>
      <c r="M48" s="302" t="s">
        <v>359</v>
      </c>
      <c r="N48" s="302">
        <v>80</v>
      </c>
    </row>
    <row r="49" spans="1:14" s="306" customFormat="1" ht="21.6" customHeight="1">
      <c r="A49" s="302">
        <v>41</v>
      </c>
      <c r="B49" s="303" t="s">
        <v>411</v>
      </c>
      <c r="C49" s="304">
        <v>1356</v>
      </c>
      <c r="D49" s="305" t="s">
        <v>375</v>
      </c>
      <c r="E49" s="305">
        <v>2020</v>
      </c>
      <c r="F49" s="302">
        <f t="shared" si="0"/>
        <v>20</v>
      </c>
      <c r="G49" s="302">
        <v>5</v>
      </c>
      <c r="H49" s="302">
        <v>5</v>
      </c>
      <c r="I49" s="302">
        <v>10</v>
      </c>
      <c r="J49" s="302" t="s">
        <v>357</v>
      </c>
      <c r="K49" s="302" t="s">
        <v>439</v>
      </c>
      <c r="L49" s="302" t="s">
        <v>358</v>
      </c>
      <c r="M49" s="302" t="s">
        <v>359</v>
      </c>
      <c r="N49" s="302">
        <v>80</v>
      </c>
    </row>
    <row r="50" spans="1:14" s="306" customFormat="1" ht="21.6" customHeight="1">
      <c r="A50" s="302">
        <v>42</v>
      </c>
      <c r="B50" s="303" t="s">
        <v>412</v>
      </c>
      <c r="C50" s="304">
        <v>1350</v>
      </c>
      <c r="D50" s="305" t="s">
        <v>369</v>
      </c>
      <c r="E50" s="305">
        <v>2020</v>
      </c>
      <c r="F50" s="302">
        <f t="shared" si="0"/>
        <v>20</v>
      </c>
      <c r="G50" s="302">
        <v>5</v>
      </c>
      <c r="H50" s="302">
        <v>5</v>
      </c>
      <c r="I50" s="302">
        <v>10</v>
      </c>
      <c r="J50" s="302" t="s">
        <v>357</v>
      </c>
      <c r="K50" s="302" t="s">
        <v>439</v>
      </c>
      <c r="L50" s="302" t="s">
        <v>358</v>
      </c>
      <c r="M50" s="302" t="s">
        <v>359</v>
      </c>
      <c r="N50" s="302">
        <v>90</v>
      </c>
    </row>
    <row r="51" spans="1:14" s="306" customFormat="1" ht="21.6" customHeight="1">
      <c r="A51" s="302">
        <v>43</v>
      </c>
      <c r="B51" s="303" t="s">
        <v>413</v>
      </c>
      <c r="C51" s="304">
        <v>2229</v>
      </c>
      <c r="D51" s="305" t="s">
        <v>356</v>
      </c>
      <c r="E51" s="305">
        <v>2020</v>
      </c>
      <c r="F51" s="302">
        <f t="shared" si="0"/>
        <v>20</v>
      </c>
      <c r="G51" s="302">
        <v>5</v>
      </c>
      <c r="H51" s="302">
        <v>5</v>
      </c>
      <c r="I51" s="302">
        <v>10</v>
      </c>
      <c r="J51" s="302" t="s">
        <v>357</v>
      </c>
      <c r="K51" s="302" t="s">
        <v>439</v>
      </c>
      <c r="L51" s="302" t="s">
        <v>358</v>
      </c>
      <c r="M51" s="302" t="s">
        <v>359</v>
      </c>
      <c r="N51" s="302">
        <v>80</v>
      </c>
    </row>
    <row r="52" spans="1:14" s="306" customFormat="1" ht="21.6" customHeight="1">
      <c r="A52" s="302">
        <v>44</v>
      </c>
      <c r="B52" s="303" t="s">
        <v>414</v>
      </c>
      <c r="C52" s="304">
        <v>833</v>
      </c>
      <c r="D52" s="305" t="s">
        <v>375</v>
      </c>
      <c r="E52" s="305">
        <v>2020</v>
      </c>
      <c r="F52" s="302">
        <f t="shared" si="0"/>
        <v>15</v>
      </c>
      <c r="G52" s="302">
        <v>5</v>
      </c>
      <c r="H52" s="302">
        <v>5</v>
      </c>
      <c r="I52" s="302">
        <v>5</v>
      </c>
      <c r="J52" s="302" t="s">
        <v>357</v>
      </c>
      <c r="K52" s="302" t="s">
        <v>439</v>
      </c>
      <c r="L52" s="302" t="s">
        <v>358</v>
      </c>
      <c r="M52" s="302" t="s">
        <v>359</v>
      </c>
      <c r="N52" s="302">
        <v>60</v>
      </c>
    </row>
    <row r="53" spans="1:14" s="306" customFormat="1" ht="21.6" customHeight="1">
      <c r="A53" s="302">
        <v>45</v>
      </c>
      <c r="B53" s="303" t="s">
        <v>415</v>
      </c>
      <c r="C53" s="304">
        <v>702</v>
      </c>
      <c r="D53" s="305" t="s">
        <v>385</v>
      </c>
      <c r="E53" s="305">
        <v>2020</v>
      </c>
      <c r="F53" s="302">
        <f t="shared" si="0"/>
        <v>15</v>
      </c>
      <c r="G53" s="302">
        <v>5</v>
      </c>
      <c r="H53" s="302">
        <v>5</v>
      </c>
      <c r="I53" s="302">
        <v>5</v>
      </c>
      <c r="J53" s="302" t="s">
        <v>357</v>
      </c>
      <c r="K53" s="302" t="s">
        <v>439</v>
      </c>
      <c r="L53" s="302" t="s">
        <v>358</v>
      </c>
      <c r="M53" s="302" t="s">
        <v>359</v>
      </c>
      <c r="N53" s="302">
        <v>60</v>
      </c>
    </row>
    <row r="54" spans="1:14" s="306" customFormat="1" ht="21.6" customHeight="1">
      <c r="A54" s="302">
        <v>46</v>
      </c>
      <c r="B54" s="303" t="s">
        <v>416</v>
      </c>
      <c r="C54" s="304">
        <v>704</v>
      </c>
      <c r="D54" s="305" t="s">
        <v>385</v>
      </c>
      <c r="E54" s="305">
        <v>2020</v>
      </c>
      <c r="F54" s="302">
        <f t="shared" si="0"/>
        <v>15</v>
      </c>
      <c r="G54" s="302">
        <v>5</v>
      </c>
      <c r="H54" s="302">
        <v>5</v>
      </c>
      <c r="I54" s="302">
        <v>5</v>
      </c>
      <c r="J54" s="302" t="s">
        <v>357</v>
      </c>
      <c r="K54" s="302" t="s">
        <v>439</v>
      </c>
      <c r="L54" s="302" t="s">
        <v>358</v>
      </c>
      <c r="M54" s="302" t="s">
        <v>359</v>
      </c>
      <c r="N54" s="302">
        <v>80</v>
      </c>
    </row>
    <row r="55" spans="1:14" s="306" customFormat="1" ht="21.6" customHeight="1">
      <c r="A55" s="302">
        <v>47</v>
      </c>
      <c r="B55" s="303" t="s">
        <v>417</v>
      </c>
      <c r="C55" s="304">
        <v>980</v>
      </c>
      <c r="D55" s="305" t="s">
        <v>418</v>
      </c>
      <c r="E55" s="305">
        <v>2020</v>
      </c>
      <c r="F55" s="302">
        <f t="shared" si="0"/>
        <v>15</v>
      </c>
      <c r="G55" s="302">
        <v>5</v>
      </c>
      <c r="H55" s="302">
        <v>5</v>
      </c>
      <c r="I55" s="302">
        <v>5</v>
      </c>
      <c r="J55" s="302" t="s">
        <v>357</v>
      </c>
      <c r="K55" s="302" t="s">
        <v>439</v>
      </c>
      <c r="L55" s="302" t="s">
        <v>358</v>
      </c>
      <c r="M55" s="302" t="s">
        <v>359</v>
      </c>
      <c r="N55" s="302">
        <v>70</v>
      </c>
    </row>
    <row r="56" spans="1:14" s="306" customFormat="1" ht="21.6" customHeight="1">
      <c r="A56" s="302">
        <v>48</v>
      </c>
      <c r="B56" s="303" t="s">
        <v>419</v>
      </c>
      <c r="C56" s="304">
        <v>789</v>
      </c>
      <c r="D56" s="305" t="s">
        <v>371</v>
      </c>
      <c r="E56" s="305">
        <v>2020</v>
      </c>
      <c r="F56" s="302">
        <f t="shared" si="0"/>
        <v>15</v>
      </c>
      <c r="G56" s="302">
        <v>5</v>
      </c>
      <c r="H56" s="302">
        <v>5</v>
      </c>
      <c r="I56" s="302">
        <v>5</v>
      </c>
      <c r="J56" s="302" t="s">
        <v>357</v>
      </c>
      <c r="K56" s="302" t="s">
        <v>439</v>
      </c>
      <c r="L56" s="302" t="s">
        <v>358</v>
      </c>
      <c r="M56" s="302" t="s">
        <v>359</v>
      </c>
      <c r="N56" s="302">
        <v>65</v>
      </c>
    </row>
    <row r="57" spans="1:14" s="306" customFormat="1" ht="21.6" customHeight="1">
      <c r="A57" s="302">
        <v>49</v>
      </c>
      <c r="B57" s="303" t="s">
        <v>420</v>
      </c>
      <c r="C57" s="304">
        <v>1100</v>
      </c>
      <c r="D57" s="305" t="s">
        <v>373</v>
      </c>
      <c r="E57" s="305">
        <v>2020</v>
      </c>
      <c r="F57" s="302">
        <f t="shared" si="0"/>
        <v>20</v>
      </c>
      <c r="G57" s="302">
        <v>5</v>
      </c>
      <c r="H57" s="302">
        <v>5</v>
      </c>
      <c r="I57" s="302">
        <v>10</v>
      </c>
      <c r="J57" s="302" t="s">
        <v>357</v>
      </c>
      <c r="K57" s="302" t="s">
        <v>439</v>
      </c>
      <c r="L57" s="302" t="s">
        <v>358</v>
      </c>
      <c r="M57" s="302" t="s">
        <v>359</v>
      </c>
      <c r="N57" s="302">
        <v>80</v>
      </c>
    </row>
    <row r="58" spans="1:14" s="306" customFormat="1" ht="21.6" customHeight="1">
      <c r="A58" s="302">
        <v>50</v>
      </c>
      <c r="B58" s="303" t="s">
        <v>421</v>
      </c>
      <c r="C58" s="304">
        <v>1106</v>
      </c>
      <c r="D58" s="305" t="s">
        <v>373</v>
      </c>
      <c r="E58" s="305">
        <v>2020</v>
      </c>
      <c r="F58" s="302">
        <f t="shared" si="0"/>
        <v>20</v>
      </c>
      <c r="G58" s="302">
        <v>5</v>
      </c>
      <c r="H58" s="302">
        <v>5</v>
      </c>
      <c r="I58" s="302">
        <v>10</v>
      </c>
      <c r="J58" s="302" t="s">
        <v>357</v>
      </c>
      <c r="K58" s="302" t="s">
        <v>439</v>
      </c>
      <c r="L58" s="302" t="s">
        <v>358</v>
      </c>
      <c r="M58" s="302" t="s">
        <v>359</v>
      </c>
      <c r="N58" s="302">
        <v>80</v>
      </c>
    </row>
    <row r="59" spans="1:14" s="306" customFormat="1" ht="21.6" customHeight="1">
      <c r="A59" s="302">
        <v>51</v>
      </c>
      <c r="B59" s="303" t="s">
        <v>422</v>
      </c>
      <c r="C59" s="304">
        <v>875</v>
      </c>
      <c r="D59" s="305" t="s">
        <v>402</v>
      </c>
      <c r="E59" s="305">
        <v>2020</v>
      </c>
      <c r="F59" s="302">
        <f t="shared" si="0"/>
        <v>15</v>
      </c>
      <c r="G59" s="302">
        <v>5</v>
      </c>
      <c r="H59" s="302">
        <v>5</v>
      </c>
      <c r="I59" s="302">
        <v>5</v>
      </c>
      <c r="J59" s="302" t="s">
        <v>357</v>
      </c>
      <c r="K59" s="302" t="s">
        <v>439</v>
      </c>
      <c r="L59" s="302" t="s">
        <v>358</v>
      </c>
      <c r="M59" s="302" t="s">
        <v>359</v>
      </c>
      <c r="N59" s="302">
        <v>70</v>
      </c>
    </row>
    <row r="60" spans="1:14" s="306" customFormat="1" ht="21.6" customHeight="1">
      <c r="A60" s="302">
        <v>52</v>
      </c>
      <c r="B60" s="303" t="s">
        <v>423</v>
      </c>
      <c r="C60" s="304">
        <v>1000</v>
      </c>
      <c r="D60" s="305" t="s">
        <v>423</v>
      </c>
      <c r="E60" s="305">
        <v>2020</v>
      </c>
      <c r="F60" s="302">
        <f t="shared" si="0"/>
        <v>20</v>
      </c>
      <c r="G60" s="302">
        <v>5</v>
      </c>
      <c r="H60" s="302">
        <v>5</v>
      </c>
      <c r="I60" s="302">
        <v>10</v>
      </c>
      <c r="J60" s="302" t="s">
        <v>357</v>
      </c>
      <c r="K60" s="302" t="s">
        <v>439</v>
      </c>
      <c r="L60" s="302" t="s">
        <v>358</v>
      </c>
      <c r="M60" s="302" t="s">
        <v>359</v>
      </c>
      <c r="N60" s="302">
        <v>80</v>
      </c>
    </row>
    <row r="61" spans="1:14" s="306" customFormat="1" ht="21.6" customHeight="1">
      <c r="A61" s="302">
        <v>53</v>
      </c>
      <c r="B61" s="303" t="s">
        <v>424</v>
      </c>
      <c r="C61" s="304">
        <v>760</v>
      </c>
      <c r="D61" s="305" t="s">
        <v>367</v>
      </c>
      <c r="E61" s="305">
        <v>2020</v>
      </c>
      <c r="F61" s="302">
        <f t="shared" si="0"/>
        <v>15</v>
      </c>
      <c r="G61" s="302">
        <v>5</v>
      </c>
      <c r="H61" s="302">
        <v>5</v>
      </c>
      <c r="I61" s="302">
        <v>5</v>
      </c>
      <c r="J61" s="302" t="s">
        <v>357</v>
      </c>
      <c r="K61" s="302" t="s">
        <v>439</v>
      </c>
      <c r="L61" s="302" t="s">
        <v>358</v>
      </c>
      <c r="M61" s="302" t="s">
        <v>359</v>
      </c>
      <c r="N61" s="302">
        <v>65</v>
      </c>
    </row>
    <row r="62" spans="1:14" s="306" customFormat="1" ht="21.6" customHeight="1">
      <c r="A62" s="302">
        <v>54</v>
      </c>
      <c r="B62" s="303" t="s">
        <v>425</v>
      </c>
      <c r="C62" s="304">
        <v>704</v>
      </c>
      <c r="D62" s="305" t="s">
        <v>369</v>
      </c>
      <c r="E62" s="305">
        <v>2021</v>
      </c>
      <c r="F62" s="302">
        <f t="shared" si="0"/>
        <v>15</v>
      </c>
      <c r="G62" s="302">
        <v>5</v>
      </c>
      <c r="H62" s="302">
        <v>5</v>
      </c>
      <c r="I62" s="302">
        <v>5</v>
      </c>
      <c r="J62" s="302" t="s">
        <v>357</v>
      </c>
      <c r="K62" s="302" t="s">
        <v>439</v>
      </c>
      <c r="L62" s="302" t="s">
        <v>358</v>
      </c>
      <c r="M62" s="302" t="s">
        <v>359</v>
      </c>
      <c r="N62" s="302">
        <v>60</v>
      </c>
    </row>
    <row r="63" spans="1:14" s="306" customFormat="1" ht="21.6" customHeight="1">
      <c r="A63" s="302">
        <v>55</v>
      </c>
      <c r="B63" s="303" t="s">
        <v>426</v>
      </c>
      <c r="C63" s="304">
        <v>758</v>
      </c>
      <c r="D63" s="305" t="s">
        <v>356</v>
      </c>
      <c r="E63" s="305">
        <v>2021</v>
      </c>
      <c r="F63" s="302">
        <f t="shared" si="0"/>
        <v>15</v>
      </c>
      <c r="G63" s="302">
        <v>5</v>
      </c>
      <c r="H63" s="302">
        <v>5</v>
      </c>
      <c r="I63" s="302">
        <v>5</v>
      </c>
      <c r="J63" s="302" t="s">
        <v>357</v>
      </c>
      <c r="K63" s="302" t="s">
        <v>439</v>
      </c>
      <c r="L63" s="302" t="s">
        <v>358</v>
      </c>
      <c r="M63" s="302" t="s">
        <v>359</v>
      </c>
      <c r="N63" s="302">
        <v>60</v>
      </c>
    </row>
    <row r="64" spans="1:14" s="306" customFormat="1" ht="21.6" customHeight="1">
      <c r="A64" s="302">
        <v>56</v>
      </c>
      <c r="B64" s="303" t="s">
        <v>427</v>
      </c>
      <c r="C64" s="304">
        <v>1335</v>
      </c>
      <c r="D64" s="305" t="s">
        <v>367</v>
      </c>
      <c r="E64" s="305">
        <v>2021</v>
      </c>
      <c r="F64" s="302">
        <f t="shared" si="0"/>
        <v>20</v>
      </c>
      <c r="G64" s="302">
        <v>5</v>
      </c>
      <c r="H64" s="302">
        <v>5</v>
      </c>
      <c r="I64" s="302">
        <v>10</v>
      </c>
      <c r="J64" s="302" t="s">
        <v>357</v>
      </c>
      <c r="K64" s="302" t="s">
        <v>439</v>
      </c>
      <c r="L64" s="302" t="s">
        <v>358</v>
      </c>
      <c r="M64" s="302" t="s">
        <v>359</v>
      </c>
      <c r="N64" s="302">
        <v>80</v>
      </c>
    </row>
    <row r="65" spans="1:14" s="306" customFormat="1" ht="21.6" customHeight="1">
      <c r="A65" s="302">
        <v>57</v>
      </c>
      <c r="B65" s="303" t="s">
        <v>428</v>
      </c>
      <c r="C65" s="304">
        <v>720</v>
      </c>
      <c r="D65" s="305" t="s">
        <v>388</v>
      </c>
      <c r="E65" s="305">
        <v>2021</v>
      </c>
      <c r="F65" s="302">
        <f t="shared" si="0"/>
        <v>15</v>
      </c>
      <c r="G65" s="302">
        <v>5</v>
      </c>
      <c r="H65" s="302">
        <v>5</v>
      </c>
      <c r="I65" s="302">
        <v>5</v>
      </c>
      <c r="J65" s="302" t="s">
        <v>357</v>
      </c>
      <c r="K65" s="302" t="s">
        <v>439</v>
      </c>
      <c r="L65" s="302" t="s">
        <v>358</v>
      </c>
      <c r="M65" s="302" t="s">
        <v>359</v>
      </c>
      <c r="N65" s="302">
        <v>80</v>
      </c>
    </row>
    <row r="66" spans="1:14" s="306" customFormat="1" ht="21.6" customHeight="1">
      <c r="A66" s="302">
        <v>58</v>
      </c>
      <c r="B66" s="303" t="s">
        <v>429</v>
      </c>
      <c r="C66" s="304">
        <v>1249</v>
      </c>
      <c r="D66" s="305" t="s">
        <v>365</v>
      </c>
      <c r="E66" s="305">
        <v>2021</v>
      </c>
      <c r="F66" s="302">
        <f t="shared" si="0"/>
        <v>20</v>
      </c>
      <c r="G66" s="302">
        <v>5</v>
      </c>
      <c r="H66" s="302">
        <v>5</v>
      </c>
      <c r="I66" s="302">
        <v>10</v>
      </c>
      <c r="J66" s="302" t="s">
        <v>357</v>
      </c>
      <c r="K66" s="302" t="s">
        <v>439</v>
      </c>
      <c r="L66" s="302" t="s">
        <v>358</v>
      </c>
      <c r="M66" s="302" t="s">
        <v>359</v>
      </c>
      <c r="N66" s="302">
        <v>80</v>
      </c>
    </row>
    <row r="67" spans="1:14" s="306" customFormat="1" ht="21.6" customHeight="1">
      <c r="A67" s="302">
        <v>59</v>
      </c>
      <c r="B67" s="303" t="s">
        <v>430</v>
      </c>
      <c r="C67" s="304">
        <v>886</v>
      </c>
      <c r="D67" s="305" t="s">
        <v>356</v>
      </c>
      <c r="E67" s="305">
        <v>2021</v>
      </c>
      <c r="F67" s="302">
        <f t="shared" si="0"/>
        <v>15</v>
      </c>
      <c r="G67" s="302">
        <v>5</v>
      </c>
      <c r="H67" s="302">
        <v>5</v>
      </c>
      <c r="I67" s="302">
        <v>5</v>
      </c>
      <c r="J67" s="302" t="s">
        <v>357</v>
      </c>
      <c r="K67" s="302" t="s">
        <v>439</v>
      </c>
      <c r="L67" s="302" t="s">
        <v>358</v>
      </c>
      <c r="M67" s="302" t="s">
        <v>359</v>
      </c>
      <c r="N67" s="302">
        <v>65</v>
      </c>
    </row>
    <row r="68" spans="1:14" s="306" customFormat="1" ht="21.6" customHeight="1">
      <c r="A68" s="302">
        <v>60</v>
      </c>
      <c r="B68" s="303" t="s">
        <v>431</v>
      </c>
      <c r="C68" s="304">
        <v>806</v>
      </c>
      <c r="D68" s="305" t="s">
        <v>356</v>
      </c>
      <c r="E68" s="305">
        <v>2021</v>
      </c>
      <c r="F68" s="302">
        <f t="shared" si="0"/>
        <v>15</v>
      </c>
      <c r="G68" s="302">
        <v>5</v>
      </c>
      <c r="H68" s="302">
        <v>5</v>
      </c>
      <c r="I68" s="302">
        <v>5</v>
      </c>
      <c r="J68" s="302" t="s">
        <v>357</v>
      </c>
      <c r="K68" s="302" t="s">
        <v>439</v>
      </c>
      <c r="L68" s="302" t="s">
        <v>358</v>
      </c>
      <c r="M68" s="302" t="s">
        <v>359</v>
      </c>
      <c r="N68" s="302">
        <v>60</v>
      </c>
    </row>
    <row r="69" spans="1:14" s="306" customFormat="1" ht="21.6" customHeight="1">
      <c r="A69" s="302">
        <v>61</v>
      </c>
      <c r="B69" s="303" t="s">
        <v>432</v>
      </c>
      <c r="C69" s="304">
        <v>1292</v>
      </c>
      <c r="D69" s="305" t="s">
        <v>356</v>
      </c>
      <c r="E69" s="305">
        <v>2021</v>
      </c>
      <c r="F69" s="302">
        <f t="shared" si="0"/>
        <v>20</v>
      </c>
      <c r="G69" s="302">
        <v>5</v>
      </c>
      <c r="H69" s="302">
        <v>5</v>
      </c>
      <c r="I69" s="302">
        <v>10</v>
      </c>
      <c r="J69" s="302" t="s">
        <v>357</v>
      </c>
      <c r="K69" s="302" t="s">
        <v>439</v>
      </c>
      <c r="L69" s="302" t="s">
        <v>358</v>
      </c>
      <c r="M69" s="302" t="s">
        <v>359</v>
      </c>
      <c r="N69" s="302">
        <v>80</v>
      </c>
    </row>
    <row r="70" spans="1:14" s="306" customFormat="1" ht="21.6" customHeight="1">
      <c r="A70" s="302">
        <v>62</v>
      </c>
      <c r="B70" s="303" t="s">
        <v>433</v>
      </c>
      <c r="C70" s="304">
        <v>968</v>
      </c>
      <c r="D70" s="305" t="s">
        <v>373</v>
      </c>
      <c r="E70" s="305">
        <v>2021</v>
      </c>
      <c r="F70" s="302">
        <f t="shared" si="0"/>
        <v>15</v>
      </c>
      <c r="G70" s="302">
        <v>5</v>
      </c>
      <c r="H70" s="302">
        <v>5</v>
      </c>
      <c r="I70" s="302">
        <v>5</v>
      </c>
      <c r="J70" s="302" t="s">
        <v>357</v>
      </c>
      <c r="K70" s="302" t="s">
        <v>439</v>
      </c>
      <c r="L70" s="302" t="s">
        <v>358</v>
      </c>
      <c r="M70" s="302" t="s">
        <v>359</v>
      </c>
      <c r="N70" s="302">
        <v>70</v>
      </c>
    </row>
    <row r="71" spans="1:14" s="306" customFormat="1" ht="21.6" customHeight="1">
      <c r="A71" s="302">
        <v>63</v>
      </c>
      <c r="B71" s="303" t="s">
        <v>434</v>
      </c>
      <c r="C71" s="304">
        <v>822</v>
      </c>
      <c r="D71" s="305" t="s">
        <v>388</v>
      </c>
      <c r="E71" s="305">
        <v>2021</v>
      </c>
      <c r="F71" s="302">
        <f t="shared" si="0"/>
        <v>15</v>
      </c>
      <c r="G71" s="302">
        <v>5</v>
      </c>
      <c r="H71" s="302">
        <v>5</v>
      </c>
      <c r="I71" s="302">
        <v>5</v>
      </c>
      <c r="J71" s="302" t="s">
        <v>357</v>
      </c>
      <c r="K71" s="302" t="s">
        <v>439</v>
      </c>
      <c r="L71" s="302" t="s">
        <v>358</v>
      </c>
      <c r="M71" s="302" t="s">
        <v>359</v>
      </c>
      <c r="N71" s="302">
        <v>65</v>
      </c>
    </row>
    <row r="72" spans="1:14" s="306" customFormat="1" ht="21.6" customHeight="1">
      <c r="A72" s="302">
        <v>64</v>
      </c>
      <c r="B72" s="303" t="s">
        <v>435</v>
      </c>
      <c r="C72" s="304">
        <v>1270</v>
      </c>
      <c r="D72" s="305" t="s">
        <v>388</v>
      </c>
      <c r="E72" s="305">
        <v>2021</v>
      </c>
      <c r="F72" s="302">
        <f t="shared" si="0"/>
        <v>20</v>
      </c>
      <c r="G72" s="302">
        <v>5</v>
      </c>
      <c r="H72" s="302">
        <v>5</v>
      </c>
      <c r="I72" s="302">
        <v>10</v>
      </c>
      <c r="J72" s="302" t="s">
        <v>357</v>
      </c>
      <c r="K72" s="302" t="s">
        <v>439</v>
      </c>
      <c r="L72" s="302" t="s">
        <v>358</v>
      </c>
      <c r="M72" s="302" t="s">
        <v>359</v>
      </c>
      <c r="N72" s="302">
        <v>80</v>
      </c>
    </row>
    <row r="73" spans="1:14" s="306" customFormat="1" ht="21.6" customHeight="1">
      <c r="A73" s="302">
        <v>65</v>
      </c>
      <c r="B73" s="303" t="s">
        <v>436</v>
      </c>
      <c r="C73" s="304">
        <v>830</v>
      </c>
      <c r="D73" s="305" t="s">
        <v>437</v>
      </c>
      <c r="E73" s="305">
        <v>2021</v>
      </c>
      <c r="F73" s="302">
        <f t="shared" si="0"/>
        <v>15</v>
      </c>
      <c r="G73" s="302">
        <v>5</v>
      </c>
      <c r="H73" s="302">
        <v>5</v>
      </c>
      <c r="I73" s="302">
        <v>5</v>
      </c>
      <c r="J73" s="302" t="s">
        <v>357</v>
      </c>
      <c r="K73" s="302" t="s">
        <v>439</v>
      </c>
      <c r="L73" s="302" t="s">
        <v>358</v>
      </c>
      <c r="M73" s="302" t="s">
        <v>359</v>
      </c>
      <c r="N73" s="302">
        <v>70</v>
      </c>
    </row>
    <row r="74" spans="1:14" s="306" customFormat="1" ht="21.6" customHeight="1">
      <c r="A74" s="302">
        <v>66</v>
      </c>
      <c r="B74" s="303" t="s">
        <v>438</v>
      </c>
      <c r="C74" s="304">
        <v>1444</v>
      </c>
      <c r="D74" s="305" t="s">
        <v>367</v>
      </c>
      <c r="E74" s="305">
        <v>2021</v>
      </c>
      <c r="F74" s="302">
        <f t="shared" ref="F74" si="1">+G74+H74+I74</f>
        <v>20</v>
      </c>
      <c r="G74" s="302">
        <v>5</v>
      </c>
      <c r="H74" s="302">
        <v>5</v>
      </c>
      <c r="I74" s="302">
        <v>10</v>
      </c>
      <c r="J74" s="302" t="s">
        <v>357</v>
      </c>
      <c r="K74" s="302" t="s">
        <v>439</v>
      </c>
      <c r="L74" s="302" t="s">
        <v>358</v>
      </c>
      <c r="M74" s="302" t="s">
        <v>359</v>
      </c>
      <c r="N74" s="302">
        <v>80</v>
      </c>
    </row>
    <row r="75" spans="1:14" s="299" customFormat="1">
      <c r="A75" s="307"/>
      <c r="B75" s="308" t="s">
        <v>7</v>
      </c>
      <c r="C75" s="309">
        <f>SUM(C9:C74)</f>
        <v>76851</v>
      </c>
      <c r="D75" s="307"/>
      <c r="E75" s="307"/>
      <c r="F75" s="309">
        <f>SUM(F9:F74)</f>
        <v>1175</v>
      </c>
      <c r="G75" s="309">
        <f>SUM(G9:G74)</f>
        <v>315</v>
      </c>
      <c r="H75" s="309">
        <f>SUM(H9:H74)</f>
        <v>330</v>
      </c>
      <c r="I75" s="309">
        <f>SUM(I9:I74)</f>
        <v>530</v>
      </c>
      <c r="J75" s="309"/>
      <c r="K75" s="309"/>
      <c r="L75" s="309"/>
      <c r="M75" s="309"/>
      <c r="N75" s="309">
        <f t="shared" ref="N75" si="2">SUM(N9:N74)</f>
        <v>5045</v>
      </c>
    </row>
  </sheetData>
  <mergeCells count="9">
    <mergeCell ref="L1:M1"/>
    <mergeCell ref="A3:N3"/>
    <mergeCell ref="A6:A7"/>
    <mergeCell ref="B6:B7"/>
    <mergeCell ref="D6:D7"/>
    <mergeCell ref="E6:E7"/>
    <mergeCell ref="J6:N6"/>
    <mergeCell ref="F6:I6"/>
    <mergeCell ref="C6:C7"/>
  </mergeCells>
  <printOptions horizontalCentered="1"/>
  <pageMargins left="0" right="0" top="0.5" bottom="0.5" header="0" footer="0"/>
  <pageSetup paperSize="9" scale="8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98"/>
  <sheetViews>
    <sheetView zoomScaleNormal="100" workbookViewId="0">
      <pane xSplit="2" ySplit="9" topLeftCell="C85" activePane="bottomRight" state="frozen"/>
      <selection pane="topRight" activeCell="C1" sqref="C1"/>
      <selection pane="bottomLeft" activeCell="A9" sqref="A9"/>
      <selection pane="bottomRight" activeCell="AB92" sqref="AB92"/>
    </sheetView>
  </sheetViews>
  <sheetFormatPr defaultColWidth="9" defaultRowHeight="15.6"/>
  <cols>
    <col min="1" max="1" width="3.19921875" style="143" customWidth="1"/>
    <col min="2" max="2" width="18.59765625" style="247" customWidth="1"/>
    <col min="3" max="3" width="7.09765625" style="141" customWidth="1"/>
    <col min="4" max="5" width="5.3984375" style="141" bestFit="1" customWidth="1"/>
    <col min="6" max="8" width="5.19921875" style="141" customWidth="1"/>
    <col min="9" max="12" width="5" style="141" customWidth="1"/>
    <col min="13" max="13" width="6.3984375" style="141" customWidth="1"/>
    <col min="14" max="14" width="6.09765625" style="141" bestFit="1" customWidth="1"/>
    <col min="15" max="18" width="5.19921875" style="141" customWidth="1"/>
    <col min="19" max="19" width="5.19921875" style="141" hidden="1" customWidth="1"/>
    <col min="20" max="22" width="5" style="141" hidden="1" customWidth="1"/>
    <col min="23" max="23" width="6.3984375" style="141" customWidth="1"/>
    <col min="24" max="24" width="5" style="141" customWidth="1"/>
    <col min="25" max="25" width="5.09765625" style="141" customWidth="1"/>
    <col min="26" max="29" width="5.5" style="141" customWidth="1"/>
    <col min="30" max="32" width="5.19921875" style="141" customWidth="1"/>
    <col min="33" max="33" width="6.3984375" style="141" customWidth="1"/>
    <col min="34" max="34" width="5.5" style="141" customWidth="1"/>
    <col min="35" max="35" width="5.3984375" style="141" customWidth="1"/>
    <col min="36" max="37" width="4.69921875" style="141" customWidth="1"/>
    <col min="38" max="16384" width="9" style="141"/>
  </cols>
  <sheetData>
    <row r="1" spans="1:37">
      <c r="A1" s="259" t="s">
        <v>570</v>
      </c>
      <c r="AI1" s="142" t="s">
        <v>16</v>
      </c>
    </row>
    <row r="2" spans="1:37">
      <c r="A2" s="260" t="s">
        <v>568</v>
      </c>
      <c r="AI2" s="142"/>
    </row>
    <row r="3" spans="1:37">
      <c r="A3" s="371" t="s">
        <v>23</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row>
    <row r="4" spans="1:37">
      <c r="A4" s="371" t="s">
        <v>248</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row>
    <row r="5" spans="1:37">
      <c r="AI5" s="372" t="s">
        <v>15</v>
      </c>
      <c r="AJ5" s="372"/>
      <c r="AK5" s="372"/>
    </row>
    <row r="6" spans="1:37" s="144" customFormat="1" ht="12">
      <c r="A6" s="375" t="s">
        <v>9</v>
      </c>
      <c r="B6" s="376" t="s">
        <v>8</v>
      </c>
      <c r="C6" s="375" t="s">
        <v>22</v>
      </c>
      <c r="D6" s="373" t="s">
        <v>48</v>
      </c>
      <c r="E6" s="373"/>
      <c r="F6" s="373"/>
      <c r="G6" s="373"/>
      <c r="H6" s="373"/>
      <c r="I6" s="373"/>
      <c r="J6" s="373"/>
      <c r="K6" s="373"/>
      <c r="L6" s="373"/>
      <c r="M6" s="373"/>
      <c r="N6" s="373" t="s">
        <v>49</v>
      </c>
      <c r="O6" s="373"/>
      <c r="P6" s="373"/>
      <c r="Q6" s="373"/>
      <c r="R6" s="373"/>
      <c r="S6" s="373"/>
      <c r="T6" s="373"/>
      <c r="U6" s="373"/>
      <c r="V6" s="373"/>
      <c r="W6" s="373"/>
      <c r="X6" s="373" t="s">
        <v>44</v>
      </c>
      <c r="Y6" s="373"/>
      <c r="Z6" s="373"/>
      <c r="AA6" s="373"/>
      <c r="AB6" s="373"/>
      <c r="AC6" s="373"/>
      <c r="AD6" s="373"/>
      <c r="AE6" s="373"/>
      <c r="AF6" s="373"/>
      <c r="AG6" s="373"/>
      <c r="AH6" s="374" t="s">
        <v>21</v>
      </c>
      <c r="AI6" s="374"/>
      <c r="AJ6" s="374" t="s">
        <v>20</v>
      </c>
      <c r="AK6" s="374"/>
    </row>
    <row r="7" spans="1:37" s="144" customFormat="1" ht="28.2" customHeight="1">
      <c r="A7" s="375"/>
      <c r="B7" s="377"/>
      <c r="C7" s="375"/>
      <c r="D7" s="375" t="s">
        <v>7</v>
      </c>
      <c r="E7" s="375" t="s">
        <v>29</v>
      </c>
      <c r="F7" s="375"/>
      <c r="G7" s="375"/>
      <c r="H7" s="375"/>
      <c r="I7" s="375" t="s">
        <v>19</v>
      </c>
      <c r="J7" s="375"/>
      <c r="K7" s="375"/>
      <c r="L7" s="375"/>
      <c r="M7" s="375" t="s">
        <v>18</v>
      </c>
      <c r="N7" s="375" t="s">
        <v>7</v>
      </c>
      <c r="O7" s="375" t="s">
        <v>29</v>
      </c>
      <c r="P7" s="375"/>
      <c r="Q7" s="375"/>
      <c r="R7" s="375"/>
      <c r="S7" s="375" t="s">
        <v>19</v>
      </c>
      <c r="T7" s="375"/>
      <c r="U7" s="375"/>
      <c r="V7" s="375"/>
      <c r="W7" s="375" t="s">
        <v>18</v>
      </c>
      <c r="X7" s="375" t="s">
        <v>7</v>
      </c>
      <c r="Y7" s="375" t="s">
        <v>29</v>
      </c>
      <c r="Z7" s="375"/>
      <c r="AA7" s="375"/>
      <c r="AB7" s="375"/>
      <c r="AC7" s="375" t="s">
        <v>19</v>
      </c>
      <c r="AD7" s="375"/>
      <c r="AE7" s="375"/>
      <c r="AF7" s="375"/>
      <c r="AG7" s="375" t="s">
        <v>18</v>
      </c>
      <c r="AH7" s="374"/>
      <c r="AI7" s="374"/>
      <c r="AJ7" s="374"/>
      <c r="AK7" s="374"/>
    </row>
    <row r="8" spans="1:37" s="144" customFormat="1" ht="13.2" customHeight="1">
      <c r="A8" s="375"/>
      <c r="B8" s="377"/>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4" t="s">
        <v>6</v>
      </c>
      <c r="AI8" s="374" t="s">
        <v>17</v>
      </c>
      <c r="AJ8" s="374" t="s">
        <v>6</v>
      </c>
      <c r="AK8" s="374" t="s">
        <v>17</v>
      </c>
    </row>
    <row r="9" spans="1:37" s="144" customFormat="1" ht="36">
      <c r="A9" s="375"/>
      <c r="B9" s="378"/>
      <c r="C9" s="375"/>
      <c r="D9" s="375"/>
      <c r="E9" s="145" t="s">
        <v>46</v>
      </c>
      <c r="F9" s="145" t="s">
        <v>47</v>
      </c>
      <c r="G9" s="145" t="s">
        <v>5</v>
      </c>
      <c r="H9" s="145" t="s">
        <v>4</v>
      </c>
      <c r="I9" s="156" t="s">
        <v>46</v>
      </c>
      <c r="J9" s="156" t="s">
        <v>47</v>
      </c>
      <c r="K9" s="156" t="s">
        <v>5</v>
      </c>
      <c r="L9" s="156" t="s">
        <v>4</v>
      </c>
      <c r="M9" s="375"/>
      <c r="N9" s="375"/>
      <c r="O9" s="145" t="s">
        <v>46</v>
      </c>
      <c r="P9" s="145" t="s">
        <v>47</v>
      </c>
      <c r="Q9" s="145" t="s">
        <v>5</v>
      </c>
      <c r="R9" s="145" t="s">
        <v>4</v>
      </c>
      <c r="S9" s="156" t="s">
        <v>46</v>
      </c>
      <c r="T9" s="156" t="s">
        <v>47</v>
      </c>
      <c r="U9" s="156" t="s">
        <v>5</v>
      </c>
      <c r="V9" s="156" t="s">
        <v>4</v>
      </c>
      <c r="W9" s="375"/>
      <c r="X9" s="375"/>
      <c r="Y9" s="145" t="s">
        <v>46</v>
      </c>
      <c r="Z9" s="145" t="s">
        <v>47</v>
      </c>
      <c r="AA9" s="145" t="s">
        <v>5</v>
      </c>
      <c r="AB9" s="145" t="s">
        <v>4</v>
      </c>
      <c r="AC9" s="156" t="s">
        <v>46</v>
      </c>
      <c r="AD9" s="156" t="s">
        <v>47</v>
      </c>
      <c r="AE9" s="156" t="s">
        <v>5</v>
      </c>
      <c r="AF9" s="156" t="s">
        <v>4</v>
      </c>
      <c r="AG9" s="375"/>
      <c r="AH9" s="374"/>
      <c r="AI9" s="374"/>
      <c r="AJ9" s="374"/>
      <c r="AK9" s="374"/>
    </row>
    <row r="10" spans="1:37" s="144" customFormat="1" ht="12">
      <c r="A10" s="156" t="s">
        <v>51</v>
      </c>
      <c r="B10" s="170" t="s">
        <v>52</v>
      </c>
      <c r="C10" s="156">
        <v>1</v>
      </c>
      <c r="D10" s="156">
        <v>2</v>
      </c>
      <c r="E10" s="156">
        <v>3</v>
      </c>
      <c r="F10" s="156">
        <v>4</v>
      </c>
      <c r="G10" s="156">
        <v>5</v>
      </c>
      <c r="H10" s="156">
        <v>6</v>
      </c>
      <c r="I10" s="156">
        <v>7</v>
      </c>
      <c r="J10" s="156">
        <v>8</v>
      </c>
      <c r="K10" s="156">
        <v>9</v>
      </c>
      <c r="L10" s="156">
        <v>10</v>
      </c>
      <c r="M10" s="156">
        <v>11</v>
      </c>
      <c r="N10" s="156">
        <v>12</v>
      </c>
      <c r="O10" s="156">
        <v>13</v>
      </c>
      <c r="P10" s="156">
        <v>14</v>
      </c>
      <c r="Q10" s="156">
        <v>15</v>
      </c>
      <c r="R10" s="156">
        <v>16</v>
      </c>
      <c r="S10" s="156">
        <v>17</v>
      </c>
      <c r="T10" s="156">
        <v>18</v>
      </c>
      <c r="U10" s="156">
        <v>19</v>
      </c>
      <c r="V10" s="156">
        <v>20</v>
      </c>
      <c r="W10" s="156">
        <v>21</v>
      </c>
      <c r="X10" s="156">
        <v>22</v>
      </c>
      <c r="Y10" s="156">
        <v>23</v>
      </c>
      <c r="Z10" s="156">
        <v>24</v>
      </c>
      <c r="AA10" s="156">
        <v>25</v>
      </c>
      <c r="AB10" s="156">
        <v>26</v>
      </c>
      <c r="AC10" s="156">
        <v>27</v>
      </c>
      <c r="AD10" s="156">
        <v>28</v>
      </c>
      <c r="AE10" s="156">
        <v>29</v>
      </c>
      <c r="AF10" s="156">
        <v>30</v>
      </c>
      <c r="AG10" s="156">
        <v>31</v>
      </c>
      <c r="AH10" s="156">
        <v>32</v>
      </c>
      <c r="AI10" s="156">
        <v>33</v>
      </c>
      <c r="AJ10" s="156">
        <v>34</v>
      </c>
      <c r="AK10" s="156">
        <v>35</v>
      </c>
    </row>
    <row r="11" spans="1:37" s="146" customFormat="1" ht="12">
      <c r="A11" s="156"/>
      <c r="B11" s="171" t="s">
        <v>50</v>
      </c>
      <c r="C11" s="157">
        <f t="shared" ref="C11:AG11" si="0">+C12+C16+C28+C36+C52+C67+C76+C89</f>
        <v>84419.428999999989</v>
      </c>
      <c r="D11" s="157">
        <f t="shared" si="0"/>
        <v>83053.865999999995</v>
      </c>
      <c r="E11" s="157">
        <f t="shared" si="0"/>
        <v>4455</v>
      </c>
      <c r="F11" s="157">
        <f t="shared" si="0"/>
        <v>7818.3042951999996</v>
      </c>
      <c r="G11" s="157">
        <f t="shared" si="0"/>
        <v>6224.3397688000005</v>
      </c>
      <c r="H11" s="157">
        <f t="shared" si="0"/>
        <v>37522.495999999999</v>
      </c>
      <c r="I11" s="157">
        <f t="shared" si="0"/>
        <v>0</v>
      </c>
      <c r="J11" s="157">
        <f t="shared" si="0"/>
        <v>0</v>
      </c>
      <c r="K11" s="157">
        <f t="shared" si="0"/>
        <v>0</v>
      </c>
      <c r="L11" s="157">
        <f t="shared" si="0"/>
        <v>0</v>
      </c>
      <c r="M11" s="157">
        <f t="shared" si="0"/>
        <v>27033.725935999999</v>
      </c>
      <c r="N11" s="157">
        <f t="shared" si="0"/>
        <v>83053.865999999995</v>
      </c>
      <c r="O11" s="157">
        <f t="shared" si="0"/>
        <v>4455</v>
      </c>
      <c r="P11" s="157">
        <f t="shared" si="0"/>
        <v>7818.3042951999996</v>
      </c>
      <c r="Q11" s="157">
        <f t="shared" si="0"/>
        <v>6224.3397688000005</v>
      </c>
      <c r="R11" s="157">
        <f t="shared" si="0"/>
        <v>37522.495999999999</v>
      </c>
      <c r="S11" s="157">
        <f t="shared" si="0"/>
        <v>0</v>
      </c>
      <c r="T11" s="157">
        <f t="shared" si="0"/>
        <v>0</v>
      </c>
      <c r="U11" s="157">
        <f t="shared" si="0"/>
        <v>0</v>
      </c>
      <c r="V11" s="157">
        <f t="shared" si="0"/>
        <v>0</v>
      </c>
      <c r="W11" s="157">
        <f t="shared" si="0"/>
        <v>27033.725935999999</v>
      </c>
      <c r="X11" s="157">
        <f t="shared" si="0"/>
        <v>83053.865999999995</v>
      </c>
      <c r="Y11" s="157">
        <f t="shared" si="0"/>
        <v>4455</v>
      </c>
      <c r="Z11" s="157">
        <f t="shared" si="0"/>
        <v>7818.3042951999996</v>
      </c>
      <c r="AA11" s="157">
        <f t="shared" si="0"/>
        <v>6224.3397688000005</v>
      </c>
      <c r="AB11" s="157">
        <f t="shared" si="0"/>
        <v>37522.495999999999</v>
      </c>
      <c r="AC11" s="157">
        <f t="shared" si="0"/>
        <v>0</v>
      </c>
      <c r="AD11" s="157">
        <f t="shared" si="0"/>
        <v>0</v>
      </c>
      <c r="AE11" s="157">
        <f t="shared" si="0"/>
        <v>0</v>
      </c>
      <c r="AF11" s="157">
        <f t="shared" si="0"/>
        <v>0</v>
      </c>
      <c r="AG11" s="157">
        <f t="shared" si="0"/>
        <v>27033.725935999999</v>
      </c>
      <c r="AH11" s="157"/>
      <c r="AI11" s="157"/>
      <c r="AJ11" s="157"/>
      <c r="AK11" s="157"/>
    </row>
    <row r="12" spans="1:37" s="161" customFormat="1" ht="12">
      <c r="A12" s="168"/>
      <c r="B12" s="249" t="s">
        <v>45</v>
      </c>
      <c r="C12" s="160">
        <f>SUM(C13:C15)</f>
        <v>835.4</v>
      </c>
      <c r="D12" s="160">
        <f>SUM(D13:D15)</f>
        <v>835.4</v>
      </c>
      <c r="E12" s="160">
        <f t="shared" ref="E12:AG12" si="1">SUM(E13:E15)</f>
        <v>0</v>
      </c>
      <c r="F12" s="160">
        <f t="shared" si="1"/>
        <v>0</v>
      </c>
      <c r="G12" s="160">
        <f t="shared" si="1"/>
        <v>0</v>
      </c>
      <c r="H12" s="160">
        <f t="shared" si="1"/>
        <v>501.23999999999995</v>
      </c>
      <c r="I12" s="160">
        <f t="shared" si="1"/>
        <v>0</v>
      </c>
      <c r="J12" s="160">
        <f t="shared" si="1"/>
        <v>0</v>
      </c>
      <c r="K12" s="160">
        <f t="shared" si="1"/>
        <v>0</v>
      </c>
      <c r="L12" s="160">
        <f t="shared" si="1"/>
        <v>0</v>
      </c>
      <c r="M12" s="160">
        <f t="shared" si="1"/>
        <v>334.15999999999997</v>
      </c>
      <c r="N12" s="160">
        <f t="shared" si="1"/>
        <v>835.4</v>
      </c>
      <c r="O12" s="160">
        <f t="shared" si="1"/>
        <v>0</v>
      </c>
      <c r="P12" s="160">
        <f t="shared" si="1"/>
        <v>0</v>
      </c>
      <c r="Q12" s="160">
        <f t="shared" si="1"/>
        <v>0</v>
      </c>
      <c r="R12" s="160">
        <f t="shared" si="1"/>
        <v>501.23999999999995</v>
      </c>
      <c r="S12" s="160">
        <f t="shared" si="1"/>
        <v>0</v>
      </c>
      <c r="T12" s="160">
        <f t="shared" si="1"/>
        <v>0</v>
      </c>
      <c r="U12" s="160">
        <f t="shared" si="1"/>
        <v>0</v>
      </c>
      <c r="V12" s="160">
        <f t="shared" si="1"/>
        <v>0</v>
      </c>
      <c r="W12" s="160">
        <f t="shared" si="1"/>
        <v>334.15999999999997</v>
      </c>
      <c r="X12" s="160">
        <f t="shared" si="1"/>
        <v>835.4</v>
      </c>
      <c r="Y12" s="160">
        <f t="shared" si="1"/>
        <v>0</v>
      </c>
      <c r="Z12" s="160">
        <f t="shared" si="1"/>
        <v>0</v>
      </c>
      <c r="AA12" s="160">
        <f t="shared" si="1"/>
        <v>0</v>
      </c>
      <c r="AB12" s="160">
        <f t="shared" si="1"/>
        <v>501.23999999999995</v>
      </c>
      <c r="AC12" s="160">
        <f t="shared" si="1"/>
        <v>0</v>
      </c>
      <c r="AD12" s="160">
        <f t="shared" si="1"/>
        <v>0</v>
      </c>
      <c r="AE12" s="160">
        <f t="shared" si="1"/>
        <v>0</v>
      </c>
      <c r="AF12" s="160">
        <f t="shared" si="1"/>
        <v>0</v>
      </c>
      <c r="AG12" s="160">
        <f t="shared" si="1"/>
        <v>334.15999999999997</v>
      </c>
      <c r="AH12" s="160"/>
      <c r="AI12" s="160"/>
      <c r="AJ12" s="160"/>
      <c r="AK12" s="160"/>
    </row>
    <row r="13" spans="1:37" s="144" customFormat="1" ht="36">
      <c r="A13" s="164">
        <v>1</v>
      </c>
      <c r="B13" s="245" t="s">
        <v>441</v>
      </c>
      <c r="C13" s="164">
        <v>388.2</v>
      </c>
      <c r="D13" s="164">
        <f>SUM(E13:M13)</f>
        <v>388.2</v>
      </c>
      <c r="E13" s="170">
        <v>0</v>
      </c>
      <c r="F13" s="170">
        <v>0</v>
      </c>
      <c r="G13" s="170">
        <v>0</v>
      </c>
      <c r="H13" s="170">
        <v>232.92</v>
      </c>
      <c r="I13" s="164"/>
      <c r="J13" s="164"/>
      <c r="K13" s="164"/>
      <c r="L13" s="164"/>
      <c r="M13" s="170">
        <v>155.28</v>
      </c>
      <c r="N13" s="164">
        <f>SUM(O13:W13)</f>
        <v>388.2</v>
      </c>
      <c r="O13" s="164">
        <v>0</v>
      </c>
      <c r="P13" s="170">
        <v>0</v>
      </c>
      <c r="Q13" s="170">
        <v>0</v>
      </c>
      <c r="R13" s="170">
        <v>232.92</v>
      </c>
      <c r="S13" s="170">
        <v>0</v>
      </c>
      <c r="T13" s="170">
        <v>0</v>
      </c>
      <c r="U13" s="170">
        <v>0</v>
      </c>
      <c r="V13" s="170">
        <v>0</v>
      </c>
      <c r="W13" s="170">
        <v>155.28</v>
      </c>
      <c r="X13" s="164">
        <f>SUM(Y13:AG13)</f>
        <v>388.2</v>
      </c>
      <c r="Y13" s="164"/>
      <c r="Z13" s="164"/>
      <c r="AA13" s="164"/>
      <c r="AB13" s="164">
        <v>232.92</v>
      </c>
      <c r="AC13" s="164"/>
      <c r="AD13" s="164"/>
      <c r="AE13" s="164"/>
      <c r="AF13" s="164"/>
      <c r="AG13" s="164">
        <v>155.28</v>
      </c>
      <c r="AH13" s="164">
        <f>+(Y13+Z13)/C13*100</f>
        <v>0</v>
      </c>
      <c r="AI13" s="164">
        <f>+(Y13+Z13+AA13+AB13)/C13*100</f>
        <v>60</v>
      </c>
      <c r="AJ13" s="164">
        <v>60</v>
      </c>
      <c r="AK13" s="164">
        <v>80</v>
      </c>
    </row>
    <row r="14" spans="1:37" s="144" customFormat="1" ht="48">
      <c r="A14" s="164">
        <v>2</v>
      </c>
      <c r="B14" s="245" t="s">
        <v>442</v>
      </c>
      <c r="C14" s="164">
        <v>330.6</v>
      </c>
      <c r="D14" s="164">
        <f t="shared" ref="D14:D15" si="2">SUM(E14:M14)</f>
        <v>330.6</v>
      </c>
      <c r="E14" s="170">
        <v>0</v>
      </c>
      <c r="F14" s="170">
        <v>0</v>
      </c>
      <c r="G14" s="170">
        <v>0</v>
      </c>
      <c r="H14" s="170">
        <v>198.36</v>
      </c>
      <c r="I14" s="164"/>
      <c r="J14" s="164"/>
      <c r="K14" s="164"/>
      <c r="L14" s="164"/>
      <c r="M14" s="170">
        <v>132.24</v>
      </c>
      <c r="N14" s="164">
        <f t="shared" ref="N14:N15" si="3">SUM(O14:W14)</f>
        <v>330.6</v>
      </c>
      <c r="O14" s="170">
        <v>0</v>
      </c>
      <c r="P14" s="170">
        <v>0</v>
      </c>
      <c r="Q14" s="170">
        <v>0</v>
      </c>
      <c r="R14" s="170">
        <v>198.36</v>
      </c>
      <c r="S14" s="164"/>
      <c r="T14" s="164"/>
      <c r="U14" s="164"/>
      <c r="V14" s="164"/>
      <c r="W14" s="170">
        <v>132.24</v>
      </c>
      <c r="X14" s="164">
        <f t="shared" ref="X14:X15" si="4">SUM(Y14:AG14)</f>
        <v>330.6</v>
      </c>
      <c r="Y14" s="164"/>
      <c r="Z14" s="164"/>
      <c r="AA14" s="164"/>
      <c r="AB14" s="164">
        <v>198.36</v>
      </c>
      <c r="AC14" s="164"/>
      <c r="AD14" s="164"/>
      <c r="AE14" s="164"/>
      <c r="AF14" s="164"/>
      <c r="AG14" s="164">
        <v>132.24</v>
      </c>
      <c r="AH14" s="164">
        <f t="shared" ref="AH14:AH77" si="5">+(Y14+Z14)/C14*100</f>
        <v>0</v>
      </c>
      <c r="AI14" s="164">
        <f t="shared" ref="AI14:AI77" si="6">+(Y14+Z14+AA14+AB14)/C14*100</f>
        <v>60</v>
      </c>
      <c r="AJ14" s="164">
        <v>60</v>
      </c>
      <c r="AK14" s="164">
        <v>80</v>
      </c>
    </row>
    <row r="15" spans="1:37" s="144" customFormat="1" ht="36">
      <c r="A15" s="164">
        <v>3</v>
      </c>
      <c r="B15" s="245" t="s">
        <v>443</v>
      </c>
      <c r="C15" s="164">
        <v>116.6</v>
      </c>
      <c r="D15" s="164">
        <f t="shared" si="2"/>
        <v>116.6</v>
      </c>
      <c r="E15" s="170">
        <v>0</v>
      </c>
      <c r="F15" s="170">
        <v>0</v>
      </c>
      <c r="G15" s="170">
        <v>0</v>
      </c>
      <c r="H15" s="170">
        <v>69.959999999999994</v>
      </c>
      <c r="I15" s="164"/>
      <c r="J15" s="164"/>
      <c r="K15" s="164"/>
      <c r="L15" s="164"/>
      <c r="M15" s="170">
        <v>46.64</v>
      </c>
      <c r="N15" s="164">
        <f t="shared" si="3"/>
        <v>116.6</v>
      </c>
      <c r="O15" s="170">
        <v>0</v>
      </c>
      <c r="P15" s="170">
        <v>0</v>
      </c>
      <c r="Q15" s="170">
        <v>0</v>
      </c>
      <c r="R15" s="170">
        <v>69.959999999999994</v>
      </c>
      <c r="S15" s="164"/>
      <c r="T15" s="164"/>
      <c r="U15" s="164"/>
      <c r="V15" s="164"/>
      <c r="W15" s="170">
        <v>46.64</v>
      </c>
      <c r="X15" s="164">
        <f t="shared" si="4"/>
        <v>116.6</v>
      </c>
      <c r="Y15" s="164"/>
      <c r="Z15" s="164"/>
      <c r="AA15" s="164"/>
      <c r="AB15" s="164">
        <v>69.959999999999994</v>
      </c>
      <c r="AC15" s="164"/>
      <c r="AD15" s="164"/>
      <c r="AE15" s="164"/>
      <c r="AF15" s="164"/>
      <c r="AG15" s="164">
        <v>46.64</v>
      </c>
      <c r="AH15" s="164">
        <f t="shared" si="5"/>
        <v>0</v>
      </c>
      <c r="AI15" s="164">
        <f t="shared" si="6"/>
        <v>60</v>
      </c>
      <c r="AJ15" s="164">
        <v>40</v>
      </c>
      <c r="AK15" s="164">
        <v>70</v>
      </c>
    </row>
    <row r="16" spans="1:37" s="161" customFormat="1" ht="12">
      <c r="A16" s="168"/>
      <c r="B16" s="249" t="s">
        <v>260</v>
      </c>
      <c r="C16" s="160">
        <f>SUM(C17:C27)</f>
        <v>11337.299999999997</v>
      </c>
      <c r="D16" s="160">
        <f>SUM(D17:D27)</f>
        <v>11337.299999999997</v>
      </c>
      <c r="E16" s="160">
        <f>SUM(E17:E27)</f>
        <v>0</v>
      </c>
      <c r="F16" s="160">
        <f t="shared" ref="F16:AG16" si="7">SUM(F17:F27)</f>
        <v>0</v>
      </c>
      <c r="G16" s="160">
        <f t="shared" si="7"/>
        <v>0</v>
      </c>
      <c r="H16" s="160">
        <f t="shared" si="7"/>
        <v>6802.38</v>
      </c>
      <c r="I16" s="160">
        <f t="shared" si="7"/>
        <v>0</v>
      </c>
      <c r="J16" s="160">
        <f t="shared" si="7"/>
        <v>0</v>
      </c>
      <c r="K16" s="160">
        <f t="shared" si="7"/>
        <v>0</v>
      </c>
      <c r="L16" s="160">
        <f t="shared" si="7"/>
        <v>0</v>
      </c>
      <c r="M16" s="160">
        <f t="shared" si="7"/>
        <v>4534.92</v>
      </c>
      <c r="N16" s="160">
        <f t="shared" si="7"/>
        <v>11337.299999999997</v>
      </c>
      <c r="O16" s="160">
        <f t="shared" si="7"/>
        <v>0</v>
      </c>
      <c r="P16" s="160">
        <f t="shared" si="7"/>
        <v>0</v>
      </c>
      <c r="Q16" s="160">
        <f t="shared" si="7"/>
        <v>0</v>
      </c>
      <c r="R16" s="160">
        <f t="shared" si="7"/>
        <v>6802.38</v>
      </c>
      <c r="S16" s="160">
        <f t="shared" si="7"/>
        <v>0</v>
      </c>
      <c r="T16" s="160">
        <f t="shared" si="7"/>
        <v>0</v>
      </c>
      <c r="U16" s="160">
        <f t="shared" si="7"/>
        <v>0</v>
      </c>
      <c r="V16" s="160">
        <f t="shared" si="7"/>
        <v>0</v>
      </c>
      <c r="W16" s="160">
        <f t="shared" si="7"/>
        <v>4534.92</v>
      </c>
      <c r="X16" s="160">
        <f>SUM(X17:X27)</f>
        <v>11337.299999999997</v>
      </c>
      <c r="Y16" s="160">
        <f t="shared" si="7"/>
        <v>0</v>
      </c>
      <c r="Z16" s="160">
        <f t="shared" si="7"/>
        <v>0</v>
      </c>
      <c r="AA16" s="160">
        <f t="shared" si="7"/>
        <v>0</v>
      </c>
      <c r="AB16" s="160">
        <f t="shared" si="7"/>
        <v>6802.38</v>
      </c>
      <c r="AC16" s="160">
        <f t="shared" si="7"/>
        <v>0</v>
      </c>
      <c r="AD16" s="160">
        <f t="shared" si="7"/>
        <v>0</v>
      </c>
      <c r="AE16" s="160">
        <f t="shared" si="7"/>
        <v>0</v>
      </c>
      <c r="AF16" s="160">
        <f t="shared" si="7"/>
        <v>0</v>
      </c>
      <c r="AG16" s="160">
        <f t="shared" si="7"/>
        <v>4534.92</v>
      </c>
      <c r="AH16" s="160"/>
      <c r="AI16" s="160"/>
      <c r="AJ16" s="160"/>
      <c r="AK16" s="160"/>
    </row>
    <row r="17" spans="1:37" s="144" customFormat="1" ht="36">
      <c r="A17" s="170">
        <v>1</v>
      </c>
      <c r="B17" s="248" t="s">
        <v>444</v>
      </c>
      <c r="C17" s="170">
        <v>196.6</v>
      </c>
      <c r="D17" s="170">
        <f>SUM(E17:M17)</f>
        <v>196.6</v>
      </c>
      <c r="E17" s="170">
        <v>0</v>
      </c>
      <c r="F17" s="170">
        <v>0</v>
      </c>
      <c r="G17" s="170">
        <v>0</v>
      </c>
      <c r="H17" s="170">
        <v>117.96</v>
      </c>
      <c r="I17" s="170"/>
      <c r="J17" s="170"/>
      <c r="K17" s="170"/>
      <c r="L17" s="170"/>
      <c r="M17" s="170">
        <v>78.64</v>
      </c>
      <c r="N17" s="170">
        <f>SUM(O17:W17)</f>
        <v>196.6</v>
      </c>
      <c r="O17" s="170">
        <v>0</v>
      </c>
      <c r="P17" s="170">
        <v>0</v>
      </c>
      <c r="Q17" s="170">
        <v>0</v>
      </c>
      <c r="R17" s="170">
        <v>117.96</v>
      </c>
      <c r="S17" s="170">
        <v>0</v>
      </c>
      <c r="T17" s="170">
        <v>0</v>
      </c>
      <c r="U17" s="170">
        <v>0</v>
      </c>
      <c r="V17" s="170">
        <v>0</v>
      </c>
      <c r="W17" s="170">
        <v>78.64</v>
      </c>
      <c r="X17" s="170">
        <f>SUM(Y17:AG17)</f>
        <v>196.6</v>
      </c>
      <c r="Y17" s="170"/>
      <c r="Z17" s="170"/>
      <c r="AA17" s="170"/>
      <c r="AB17" s="170">
        <v>117.96</v>
      </c>
      <c r="AC17" s="170"/>
      <c r="AD17" s="170"/>
      <c r="AE17" s="170"/>
      <c r="AF17" s="170"/>
      <c r="AG17" s="170">
        <v>78.64</v>
      </c>
      <c r="AH17" s="170">
        <f t="shared" si="5"/>
        <v>0</v>
      </c>
      <c r="AI17" s="170">
        <f t="shared" si="6"/>
        <v>60</v>
      </c>
      <c r="AJ17" s="170">
        <v>60</v>
      </c>
      <c r="AK17" s="170">
        <v>80</v>
      </c>
    </row>
    <row r="18" spans="1:37" s="144" customFormat="1" ht="48">
      <c r="A18" s="170">
        <v>2</v>
      </c>
      <c r="B18" s="248" t="s">
        <v>445</v>
      </c>
      <c r="C18" s="170">
        <v>155.30000000000001</v>
      </c>
      <c r="D18" s="170">
        <f t="shared" ref="D18:D80" si="8">SUM(E18:M18)</f>
        <v>155.30000000000001</v>
      </c>
      <c r="E18" s="170">
        <v>0</v>
      </c>
      <c r="F18" s="170">
        <v>0</v>
      </c>
      <c r="G18" s="170">
        <v>0</v>
      </c>
      <c r="H18" s="170">
        <v>93.18</v>
      </c>
      <c r="I18" s="170"/>
      <c r="J18" s="170"/>
      <c r="K18" s="170"/>
      <c r="L18" s="170"/>
      <c r="M18" s="170">
        <v>62.120000000000005</v>
      </c>
      <c r="N18" s="170">
        <f t="shared" ref="N18:N80" si="9">SUM(O18:W18)</f>
        <v>155.30000000000001</v>
      </c>
      <c r="O18" s="170">
        <v>0</v>
      </c>
      <c r="P18" s="170">
        <v>0</v>
      </c>
      <c r="Q18" s="170">
        <v>0</v>
      </c>
      <c r="R18" s="170">
        <v>93.18</v>
      </c>
      <c r="S18" s="170">
        <v>0</v>
      </c>
      <c r="T18" s="170">
        <v>0</v>
      </c>
      <c r="U18" s="170">
        <v>0</v>
      </c>
      <c r="V18" s="170">
        <v>0</v>
      </c>
      <c r="W18" s="170">
        <v>62.120000000000005</v>
      </c>
      <c r="X18" s="170">
        <f t="shared" ref="X18:X80" si="10">SUM(Y18:AG18)</f>
        <v>155.30000000000001</v>
      </c>
      <c r="Y18" s="170"/>
      <c r="Z18" s="170"/>
      <c r="AA18" s="170"/>
      <c r="AB18" s="170">
        <v>93.18</v>
      </c>
      <c r="AC18" s="170"/>
      <c r="AD18" s="170"/>
      <c r="AE18" s="170"/>
      <c r="AF18" s="170"/>
      <c r="AG18" s="170">
        <v>62.120000000000005</v>
      </c>
      <c r="AH18" s="170">
        <f t="shared" si="5"/>
        <v>0</v>
      </c>
      <c r="AI18" s="170">
        <f t="shared" si="6"/>
        <v>60</v>
      </c>
      <c r="AJ18" s="170">
        <v>60</v>
      </c>
      <c r="AK18" s="170">
        <v>80</v>
      </c>
    </row>
    <row r="19" spans="1:37" s="144" customFormat="1" ht="36">
      <c r="A19" s="170">
        <v>3</v>
      </c>
      <c r="B19" s="248" t="s">
        <v>446</v>
      </c>
      <c r="C19" s="170">
        <v>1025.2</v>
      </c>
      <c r="D19" s="170">
        <f t="shared" si="8"/>
        <v>1025.2</v>
      </c>
      <c r="E19" s="170">
        <v>0</v>
      </c>
      <c r="F19" s="170">
        <v>0</v>
      </c>
      <c r="G19" s="170">
        <v>0</v>
      </c>
      <c r="H19" s="170">
        <v>615.12</v>
      </c>
      <c r="I19" s="170"/>
      <c r="J19" s="170"/>
      <c r="K19" s="170"/>
      <c r="L19" s="170"/>
      <c r="M19" s="170">
        <v>410.08000000000004</v>
      </c>
      <c r="N19" s="170">
        <f t="shared" si="9"/>
        <v>1025.2</v>
      </c>
      <c r="O19" s="170">
        <v>0</v>
      </c>
      <c r="P19" s="170">
        <v>0</v>
      </c>
      <c r="Q19" s="170">
        <v>0</v>
      </c>
      <c r="R19" s="170">
        <v>615.12</v>
      </c>
      <c r="S19" s="170">
        <v>0</v>
      </c>
      <c r="T19" s="170">
        <v>0</v>
      </c>
      <c r="U19" s="170">
        <v>0</v>
      </c>
      <c r="V19" s="170">
        <v>0</v>
      </c>
      <c r="W19" s="170">
        <v>410.08000000000004</v>
      </c>
      <c r="X19" s="170">
        <f t="shared" si="10"/>
        <v>1025.2</v>
      </c>
      <c r="Y19" s="170"/>
      <c r="Z19" s="170"/>
      <c r="AA19" s="170"/>
      <c r="AB19" s="170">
        <v>615.12</v>
      </c>
      <c r="AC19" s="170"/>
      <c r="AD19" s="170"/>
      <c r="AE19" s="170"/>
      <c r="AF19" s="170"/>
      <c r="AG19" s="170">
        <v>410.08000000000004</v>
      </c>
      <c r="AH19" s="170">
        <f t="shared" si="5"/>
        <v>0</v>
      </c>
      <c r="AI19" s="170">
        <f t="shared" si="6"/>
        <v>60</v>
      </c>
      <c r="AJ19" s="170">
        <v>60</v>
      </c>
      <c r="AK19" s="170">
        <v>80</v>
      </c>
    </row>
    <row r="20" spans="1:37" s="144" customFormat="1" ht="36">
      <c r="A20" s="170">
        <v>4</v>
      </c>
      <c r="B20" s="248" t="s">
        <v>447</v>
      </c>
      <c r="C20" s="170">
        <v>740</v>
      </c>
      <c r="D20" s="170">
        <f t="shared" si="8"/>
        <v>740</v>
      </c>
      <c r="E20" s="170">
        <v>0</v>
      </c>
      <c r="F20" s="170">
        <v>0</v>
      </c>
      <c r="G20" s="170">
        <v>0</v>
      </c>
      <c r="H20" s="170">
        <v>444</v>
      </c>
      <c r="I20" s="170"/>
      <c r="J20" s="170"/>
      <c r="K20" s="170"/>
      <c r="L20" s="170"/>
      <c r="M20" s="170">
        <v>296</v>
      </c>
      <c r="N20" s="170">
        <f t="shared" si="9"/>
        <v>740</v>
      </c>
      <c r="O20" s="170">
        <v>0</v>
      </c>
      <c r="P20" s="170">
        <v>0</v>
      </c>
      <c r="Q20" s="170">
        <v>0</v>
      </c>
      <c r="R20" s="170">
        <v>444</v>
      </c>
      <c r="S20" s="170">
        <v>0</v>
      </c>
      <c r="T20" s="170">
        <v>0</v>
      </c>
      <c r="U20" s="170">
        <v>0</v>
      </c>
      <c r="V20" s="170">
        <v>0</v>
      </c>
      <c r="W20" s="170">
        <v>296</v>
      </c>
      <c r="X20" s="170">
        <f t="shared" si="10"/>
        <v>740</v>
      </c>
      <c r="Y20" s="170"/>
      <c r="Z20" s="170"/>
      <c r="AA20" s="170"/>
      <c r="AB20" s="170">
        <v>444</v>
      </c>
      <c r="AC20" s="170"/>
      <c r="AD20" s="170"/>
      <c r="AE20" s="170"/>
      <c r="AF20" s="170"/>
      <c r="AG20" s="170">
        <v>296</v>
      </c>
      <c r="AH20" s="170">
        <f t="shared" si="5"/>
        <v>0</v>
      </c>
      <c r="AI20" s="170">
        <f t="shared" si="6"/>
        <v>60</v>
      </c>
      <c r="AJ20" s="170">
        <v>60</v>
      </c>
      <c r="AK20" s="170">
        <v>80</v>
      </c>
    </row>
    <row r="21" spans="1:37" s="144" customFormat="1" ht="48">
      <c r="A21" s="170">
        <v>5</v>
      </c>
      <c r="B21" s="248" t="s">
        <v>448</v>
      </c>
      <c r="C21" s="170">
        <v>302.8</v>
      </c>
      <c r="D21" s="170">
        <f t="shared" si="8"/>
        <v>302.8</v>
      </c>
      <c r="E21" s="170">
        <v>0</v>
      </c>
      <c r="F21" s="170">
        <v>0</v>
      </c>
      <c r="G21" s="170">
        <v>0</v>
      </c>
      <c r="H21" s="170">
        <v>181.68</v>
      </c>
      <c r="I21" s="170"/>
      <c r="J21" s="170"/>
      <c r="K21" s="170"/>
      <c r="L21" s="170"/>
      <c r="M21" s="170">
        <v>121.12</v>
      </c>
      <c r="N21" s="170">
        <f t="shared" si="9"/>
        <v>302.8</v>
      </c>
      <c r="O21" s="170">
        <v>0</v>
      </c>
      <c r="P21" s="170">
        <v>0</v>
      </c>
      <c r="Q21" s="170">
        <v>0</v>
      </c>
      <c r="R21" s="170">
        <v>181.68</v>
      </c>
      <c r="S21" s="170">
        <v>0</v>
      </c>
      <c r="T21" s="170">
        <v>0</v>
      </c>
      <c r="U21" s="170">
        <v>0</v>
      </c>
      <c r="V21" s="170">
        <v>0</v>
      </c>
      <c r="W21" s="170">
        <v>121.12</v>
      </c>
      <c r="X21" s="170">
        <f t="shared" si="10"/>
        <v>302.8</v>
      </c>
      <c r="Y21" s="170"/>
      <c r="Z21" s="170"/>
      <c r="AA21" s="170"/>
      <c r="AB21" s="170">
        <v>181.68</v>
      </c>
      <c r="AC21" s="170"/>
      <c r="AD21" s="170"/>
      <c r="AE21" s="170"/>
      <c r="AF21" s="170"/>
      <c r="AG21" s="170">
        <v>121.12</v>
      </c>
      <c r="AH21" s="170">
        <f t="shared" si="5"/>
        <v>0</v>
      </c>
      <c r="AI21" s="170">
        <f t="shared" si="6"/>
        <v>60</v>
      </c>
      <c r="AJ21" s="170">
        <v>60</v>
      </c>
      <c r="AK21" s="170">
        <v>80</v>
      </c>
    </row>
    <row r="22" spans="1:37" s="144" customFormat="1" ht="48">
      <c r="A22" s="170">
        <v>6</v>
      </c>
      <c r="B22" s="248" t="s">
        <v>449</v>
      </c>
      <c r="C22" s="170">
        <v>1807</v>
      </c>
      <c r="D22" s="170">
        <f t="shared" si="8"/>
        <v>1807</v>
      </c>
      <c r="E22" s="170">
        <v>0</v>
      </c>
      <c r="F22" s="170">
        <v>0</v>
      </c>
      <c r="G22" s="170">
        <v>0</v>
      </c>
      <c r="H22" s="170">
        <v>1084.2</v>
      </c>
      <c r="I22" s="170"/>
      <c r="J22" s="170"/>
      <c r="K22" s="170"/>
      <c r="L22" s="170"/>
      <c r="M22" s="170">
        <v>722.8</v>
      </c>
      <c r="N22" s="170">
        <f t="shared" si="9"/>
        <v>1807</v>
      </c>
      <c r="O22" s="170">
        <v>0</v>
      </c>
      <c r="P22" s="170">
        <v>0</v>
      </c>
      <c r="Q22" s="170">
        <v>0</v>
      </c>
      <c r="R22" s="170">
        <v>1084.2</v>
      </c>
      <c r="S22" s="170">
        <v>0</v>
      </c>
      <c r="T22" s="170">
        <v>0</v>
      </c>
      <c r="U22" s="170">
        <v>0</v>
      </c>
      <c r="V22" s="170">
        <v>0</v>
      </c>
      <c r="W22" s="170">
        <v>722.8</v>
      </c>
      <c r="X22" s="170">
        <f t="shared" si="10"/>
        <v>1807</v>
      </c>
      <c r="Y22" s="170"/>
      <c r="Z22" s="170"/>
      <c r="AA22" s="170"/>
      <c r="AB22" s="170">
        <v>1084.2</v>
      </c>
      <c r="AC22" s="170"/>
      <c r="AD22" s="170"/>
      <c r="AE22" s="170"/>
      <c r="AF22" s="170"/>
      <c r="AG22" s="170">
        <v>722.8</v>
      </c>
      <c r="AH22" s="170">
        <f t="shared" si="5"/>
        <v>0</v>
      </c>
      <c r="AI22" s="170">
        <f t="shared" si="6"/>
        <v>60</v>
      </c>
      <c r="AJ22" s="170">
        <v>60</v>
      </c>
      <c r="AK22" s="170">
        <v>80</v>
      </c>
    </row>
    <row r="23" spans="1:37" s="144" customFormat="1" ht="48">
      <c r="A23" s="170">
        <v>7</v>
      </c>
      <c r="B23" s="248" t="s">
        <v>450</v>
      </c>
      <c r="C23" s="170">
        <v>2993.4</v>
      </c>
      <c r="D23" s="170">
        <f t="shared" si="8"/>
        <v>2993.4</v>
      </c>
      <c r="E23" s="170">
        <v>0</v>
      </c>
      <c r="F23" s="170">
        <v>0</v>
      </c>
      <c r="G23" s="170">
        <v>0</v>
      </c>
      <c r="H23" s="170">
        <v>1796.04</v>
      </c>
      <c r="I23" s="170"/>
      <c r="J23" s="170"/>
      <c r="K23" s="170"/>
      <c r="L23" s="170"/>
      <c r="M23" s="170">
        <v>1197.3600000000001</v>
      </c>
      <c r="N23" s="170">
        <f t="shared" si="9"/>
        <v>2993.4</v>
      </c>
      <c r="O23" s="170">
        <v>0</v>
      </c>
      <c r="P23" s="170">
        <v>0</v>
      </c>
      <c r="Q23" s="170">
        <v>0</v>
      </c>
      <c r="R23" s="170">
        <v>1796.04</v>
      </c>
      <c r="S23" s="170">
        <v>0</v>
      </c>
      <c r="T23" s="170">
        <v>0</v>
      </c>
      <c r="U23" s="170">
        <v>0</v>
      </c>
      <c r="V23" s="170">
        <v>0</v>
      </c>
      <c r="W23" s="170">
        <v>1197.3600000000001</v>
      </c>
      <c r="X23" s="170">
        <f t="shared" si="10"/>
        <v>2993.4</v>
      </c>
      <c r="Y23" s="170"/>
      <c r="Z23" s="170"/>
      <c r="AA23" s="170"/>
      <c r="AB23" s="170">
        <v>1796.04</v>
      </c>
      <c r="AC23" s="170"/>
      <c r="AD23" s="170"/>
      <c r="AE23" s="170"/>
      <c r="AF23" s="170"/>
      <c r="AG23" s="170">
        <v>1197.3600000000001</v>
      </c>
      <c r="AH23" s="170">
        <f t="shared" si="5"/>
        <v>0</v>
      </c>
      <c r="AI23" s="170">
        <f t="shared" si="6"/>
        <v>60</v>
      </c>
      <c r="AJ23" s="170">
        <v>85</v>
      </c>
      <c r="AK23" s="170">
        <v>95</v>
      </c>
    </row>
    <row r="24" spans="1:37" s="144" customFormat="1" ht="48">
      <c r="A24" s="170">
        <v>8</v>
      </c>
      <c r="B24" s="248" t="s">
        <v>451</v>
      </c>
      <c r="C24" s="170">
        <v>1778.8</v>
      </c>
      <c r="D24" s="170">
        <f t="shared" si="8"/>
        <v>1778.8</v>
      </c>
      <c r="E24" s="170">
        <v>0</v>
      </c>
      <c r="F24" s="170">
        <v>0</v>
      </c>
      <c r="G24" s="170">
        <v>0</v>
      </c>
      <c r="H24" s="170">
        <v>1067.28</v>
      </c>
      <c r="I24" s="170"/>
      <c r="J24" s="170"/>
      <c r="K24" s="170"/>
      <c r="L24" s="170"/>
      <c r="M24" s="170">
        <v>711.52</v>
      </c>
      <c r="N24" s="170">
        <f t="shared" si="9"/>
        <v>1778.8</v>
      </c>
      <c r="O24" s="170">
        <v>0</v>
      </c>
      <c r="P24" s="170">
        <v>0</v>
      </c>
      <c r="Q24" s="170">
        <v>0</v>
      </c>
      <c r="R24" s="170">
        <v>1067.28</v>
      </c>
      <c r="S24" s="170">
        <v>0</v>
      </c>
      <c r="T24" s="170">
        <v>0</v>
      </c>
      <c r="U24" s="170">
        <v>0</v>
      </c>
      <c r="V24" s="170">
        <v>0</v>
      </c>
      <c r="W24" s="170">
        <v>711.52</v>
      </c>
      <c r="X24" s="170">
        <f t="shared" si="10"/>
        <v>1778.8</v>
      </c>
      <c r="Y24" s="170"/>
      <c r="Z24" s="170"/>
      <c r="AA24" s="170"/>
      <c r="AB24" s="170">
        <v>1067.28</v>
      </c>
      <c r="AC24" s="170"/>
      <c r="AD24" s="170"/>
      <c r="AE24" s="170"/>
      <c r="AF24" s="170"/>
      <c r="AG24" s="170">
        <v>711.52</v>
      </c>
      <c r="AH24" s="170">
        <f t="shared" si="5"/>
        <v>0</v>
      </c>
      <c r="AI24" s="170">
        <f t="shared" si="6"/>
        <v>60</v>
      </c>
      <c r="AJ24" s="170">
        <v>60</v>
      </c>
      <c r="AK24" s="170">
        <v>80</v>
      </c>
    </row>
    <row r="25" spans="1:37" s="144" customFormat="1" ht="36">
      <c r="A25" s="170">
        <v>9</v>
      </c>
      <c r="B25" s="248" t="s">
        <v>452</v>
      </c>
      <c r="C25" s="170">
        <v>939.8</v>
      </c>
      <c r="D25" s="170">
        <f t="shared" si="8"/>
        <v>939.8</v>
      </c>
      <c r="E25" s="170">
        <v>0</v>
      </c>
      <c r="F25" s="170">
        <v>0</v>
      </c>
      <c r="G25" s="170">
        <v>0</v>
      </c>
      <c r="H25" s="170">
        <v>563.88</v>
      </c>
      <c r="I25" s="170"/>
      <c r="J25" s="170"/>
      <c r="K25" s="170"/>
      <c r="L25" s="170"/>
      <c r="M25" s="170">
        <v>375.91999999999996</v>
      </c>
      <c r="N25" s="170">
        <f t="shared" si="9"/>
        <v>939.8</v>
      </c>
      <c r="O25" s="170">
        <v>0</v>
      </c>
      <c r="P25" s="170">
        <v>0</v>
      </c>
      <c r="Q25" s="170">
        <v>0</v>
      </c>
      <c r="R25" s="170">
        <v>563.88</v>
      </c>
      <c r="S25" s="170">
        <v>0</v>
      </c>
      <c r="T25" s="170">
        <v>0</v>
      </c>
      <c r="U25" s="170">
        <v>0</v>
      </c>
      <c r="V25" s="170">
        <v>0</v>
      </c>
      <c r="W25" s="170">
        <v>375.91999999999996</v>
      </c>
      <c r="X25" s="170">
        <f t="shared" si="10"/>
        <v>939.8</v>
      </c>
      <c r="Y25" s="170"/>
      <c r="Z25" s="170"/>
      <c r="AA25" s="170"/>
      <c r="AB25" s="170">
        <v>563.88</v>
      </c>
      <c r="AC25" s="170"/>
      <c r="AD25" s="170"/>
      <c r="AE25" s="170"/>
      <c r="AF25" s="170"/>
      <c r="AG25" s="170">
        <v>375.91999999999996</v>
      </c>
      <c r="AH25" s="170">
        <f t="shared" si="5"/>
        <v>0</v>
      </c>
      <c r="AI25" s="170">
        <f t="shared" si="6"/>
        <v>60</v>
      </c>
      <c r="AJ25" s="170">
        <v>60</v>
      </c>
      <c r="AK25" s="170">
        <v>80</v>
      </c>
    </row>
    <row r="26" spans="1:37" s="144" customFormat="1" ht="48">
      <c r="A26" s="170">
        <v>10</v>
      </c>
      <c r="B26" s="248" t="s">
        <v>453</v>
      </c>
      <c r="C26" s="170">
        <v>953.8</v>
      </c>
      <c r="D26" s="170">
        <f t="shared" si="8"/>
        <v>953.8</v>
      </c>
      <c r="E26" s="170">
        <v>0</v>
      </c>
      <c r="F26" s="170">
        <v>0</v>
      </c>
      <c r="G26" s="170">
        <v>0</v>
      </c>
      <c r="H26" s="170">
        <v>572.28</v>
      </c>
      <c r="I26" s="170"/>
      <c r="J26" s="170"/>
      <c r="K26" s="170"/>
      <c r="L26" s="170"/>
      <c r="M26" s="170">
        <v>381.52</v>
      </c>
      <c r="N26" s="170">
        <f t="shared" si="9"/>
        <v>953.8</v>
      </c>
      <c r="O26" s="170">
        <v>0</v>
      </c>
      <c r="P26" s="170">
        <v>0</v>
      </c>
      <c r="Q26" s="170">
        <v>0</v>
      </c>
      <c r="R26" s="170">
        <v>572.28</v>
      </c>
      <c r="S26" s="170">
        <v>0</v>
      </c>
      <c r="T26" s="170">
        <v>0</v>
      </c>
      <c r="U26" s="170">
        <v>0</v>
      </c>
      <c r="V26" s="170">
        <v>0</v>
      </c>
      <c r="W26" s="170">
        <v>381.52</v>
      </c>
      <c r="X26" s="170">
        <f t="shared" si="10"/>
        <v>953.8</v>
      </c>
      <c r="Y26" s="170"/>
      <c r="Z26" s="170"/>
      <c r="AA26" s="170"/>
      <c r="AB26" s="170">
        <v>572.28</v>
      </c>
      <c r="AC26" s="170"/>
      <c r="AD26" s="170"/>
      <c r="AE26" s="170"/>
      <c r="AF26" s="170"/>
      <c r="AG26" s="170">
        <v>381.52</v>
      </c>
      <c r="AH26" s="170">
        <f t="shared" si="5"/>
        <v>0</v>
      </c>
      <c r="AI26" s="170">
        <f t="shared" si="6"/>
        <v>60</v>
      </c>
      <c r="AJ26" s="170">
        <v>60</v>
      </c>
      <c r="AK26" s="170">
        <v>80</v>
      </c>
    </row>
    <row r="27" spans="1:37" s="144" customFormat="1" ht="48">
      <c r="A27" s="170">
        <v>11</v>
      </c>
      <c r="B27" s="248" t="s">
        <v>454</v>
      </c>
      <c r="C27" s="170">
        <v>444.6</v>
      </c>
      <c r="D27" s="170">
        <f t="shared" si="8"/>
        <v>444.6</v>
      </c>
      <c r="E27" s="170">
        <v>0</v>
      </c>
      <c r="F27" s="170">
        <v>0</v>
      </c>
      <c r="G27" s="170">
        <v>0</v>
      </c>
      <c r="H27" s="170">
        <v>266.76</v>
      </c>
      <c r="I27" s="170"/>
      <c r="J27" s="170"/>
      <c r="K27" s="170"/>
      <c r="L27" s="170"/>
      <c r="M27" s="170">
        <v>177.84000000000003</v>
      </c>
      <c r="N27" s="170">
        <f t="shared" si="9"/>
        <v>444.6</v>
      </c>
      <c r="O27" s="170">
        <v>0</v>
      </c>
      <c r="P27" s="170">
        <v>0</v>
      </c>
      <c r="Q27" s="170">
        <v>0</v>
      </c>
      <c r="R27" s="170">
        <v>266.76</v>
      </c>
      <c r="S27" s="170">
        <v>0</v>
      </c>
      <c r="T27" s="170">
        <v>0</v>
      </c>
      <c r="U27" s="170">
        <v>0</v>
      </c>
      <c r="V27" s="170">
        <v>0</v>
      </c>
      <c r="W27" s="170">
        <v>177.84000000000003</v>
      </c>
      <c r="X27" s="170">
        <f t="shared" si="10"/>
        <v>444.6</v>
      </c>
      <c r="Y27" s="170"/>
      <c r="Z27" s="170"/>
      <c r="AA27" s="170"/>
      <c r="AB27" s="170">
        <v>266.76</v>
      </c>
      <c r="AC27" s="170"/>
      <c r="AD27" s="170"/>
      <c r="AE27" s="170"/>
      <c r="AF27" s="170"/>
      <c r="AG27" s="170">
        <v>177.84000000000003</v>
      </c>
      <c r="AH27" s="170">
        <f t="shared" si="5"/>
        <v>0</v>
      </c>
      <c r="AI27" s="170">
        <f t="shared" si="6"/>
        <v>60</v>
      </c>
      <c r="AJ27" s="170">
        <v>60</v>
      </c>
      <c r="AK27" s="170">
        <v>80</v>
      </c>
    </row>
    <row r="28" spans="1:37" s="161" customFormat="1" ht="12">
      <c r="A28" s="168"/>
      <c r="B28" s="249" t="s">
        <v>261</v>
      </c>
      <c r="C28" s="160">
        <f>SUM(C29:C35)</f>
        <v>7138.9000000000005</v>
      </c>
      <c r="D28" s="160">
        <f t="shared" ref="D28:AG28" si="11">SUM(D29:D35)</f>
        <v>7138.9000000000005</v>
      </c>
      <c r="E28" s="160">
        <f t="shared" si="11"/>
        <v>962</v>
      </c>
      <c r="F28" s="160">
        <f t="shared" si="11"/>
        <v>0</v>
      </c>
      <c r="G28" s="160">
        <f t="shared" si="11"/>
        <v>321.36</v>
      </c>
      <c r="H28" s="160">
        <f t="shared" si="11"/>
        <v>4589.4160000000002</v>
      </c>
      <c r="I28" s="160">
        <f t="shared" si="11"/>
        <v>0</v>
      </c>
      <c r="J28" s="160">
        <f t="shared" si="11"/>
        <v>0</v>
      </c>
      <c r="K28" s="160">
        <f t="shared" si="11"/>
        <v>0</v>
      </c>
      <c r="L28" s="160">
        <f t="shared" si="11"/>
        <v>0</v>
      </c>
      <c r="M28" s="160">
        <f t="shared" si="11"/>
        <v>1266.1239999999998</v>
      </c>
      <c r="N28" s="160">
        <f t="shared" si="11"/>
        <v>7138.9000000000005</v>
      </c>
      <c r="O28" s="160">
        <f t="shared" si="11"/>
        <v>962</v>
      </c>
      <c r="P28" s="160">
        <f t="shared" si="11"/>
        <v>0</v>
      </c>
      <c r="Q28" s="160">
        <f t="shared" si="11"/>
        <v>321.36</v>
      </c>
      <c r="R28" s="160">
        <f t="shared" si="11"/>
        <v>4589.4160000000002</v>
      </c>
      <c r="S28" s="160">
        <f t="shared" si="11"/>
        <v>0</v>
      </c>
      <c r="T28" s="160">
        <f t="shared" si="11"/>
        <v>0</v>
      </c>
      <c r="U28" s="160">
        <f t="shared" si="11"/>
        <v>0</v>
      </c>
      <c r="V28" s="160">
        <f t="shared" si="11"/>
        <v>0</v>
      </c>
      <c r="W28" s="160">
        <f t="shared" si="11"/>
        <v>1266.1239999999998</v>
      </c>
      <c r="X28" s="160">
        <f t="shared" si="11"/>
        <v>7138.9000000000005</v>
      </c>
      <c r="Y28" s="160">
        <f t="shared" si="11"/>
        <v>962</v>
      </c>
      <c r="Z28" s="160">
        <f t="shared" si="11"/>
        <v>0</v>
      </c>
      <c r="AA28" s="160">
        <f t="shared" si="11"/>
        <v>321.36</v>
      </c>
      <c r="AB28" s="160">
        <f t="shared" si="11"/>
        <v>4589.4160000000002</v>
      </c>
      <c r="AC28" s="160">
        <f t="shared" si="11"/>
        <v>0</v>
      </c>
      <c r="AD28" s="160">
        <f t="shared" si="11"/>
        <v>0</v>
      </c>
      <c r="AE28" s="160">
        <f t="shared" si="11"/>
        <v>0</v>
      </c>
      <c r="AF28" s="160">
        <f t="shared" si="11"/>
        <v>0</v>
      </c>
      <c r="AG28" s="160">
        <f t="shared" si="11"/>
        <v>1266.1239999999998</v>
      </c>
      <c r="AH28" s="160"/>
      <c r="AI28" s="160"/>
      <c r="AJ28" s="160"/>
      <c r="AK28" s="160"/>
    </row>
    <row r="29" spans="1:37" s="144" customFormat="1" ht="24">
      <c r="A29" s="164">
        <v>1</v>
      </c>
      <c r="B29" s="250" t="s">
        <v>341</v>
      </c>
      <c r="C29" s="164">
        <v>1562.7</v>
      </c>
      <c r="D29" s="164">
        <f t="shared" si="8"/>
        <v>1562.7</v>
      </c>
      <c r="E29" s="170">
        <v>0</v>
      </c>
      <c r="F29" s="170">
        <v>0</v>
      </c>
      <c r="G29" s="170">
        <v>0</v>
      </c>
      <c r="H29" s="170">
        <v>1250</v>
      </c>
      <c r="I29" s="164"/>
      <c r="J29" s="164"/>
      <c r="K29" s="164"/>
      <c r="L29" s="164"/>
      <c r="M29" s="170">
        <v>312.70000000000005</v>
      </c>
      <c r="N29" s="164">
        <f t="shared" si="9"/>
        <v>1562.7</v>
      </c>
      <c r="O29" s="164">
        <v>0</v>
      </c>
      <c r="P29" s="170">
        <v>0</v>
      </c>
      <c r="Q29" s="170">
        <v>0</v>
      </c>
      <c r="R29" s="170">
        <v>1250</v>
      </c>
      <c r="S29" s="170">
        <v>0</v>
      </c>
      <c r="T29" s="170">
        <v>0</v>
      </c>
      <c r="U29" s="170">
        <v>0</v>
      </c>
      <c r="V29" s="170">
        <v>0</v>
      </c>
      <c r="W29" s="170">
        <v>312.70000000000005</v>
      </c>
      <c r="X29" s="164">
        <f t="shared" si="10"/>
        <v>1562.7</v>
      </c>
      <c r="Y29" s="164"/>
      <c r="Z29" s="164"/>
      <c r="AA29" s="164"/>
      <c r="AB29" s="164">
        <v>1250</v>
      </c>
      <c r="AC29" s="164"/>
      <c r="AD29" s="164"/>
      <c r="AE29" s="164"/>
      <c r="AF29" s="164"/>
      <c r="AG29" s="164">
        <v>312.70000000000005</v>
      </c>
      <c r="AH29" s="164">
        <f t="shared" si="5"/>
        <v>0</v>
      </c>
      <c r="AI29" s="164">
        <f t="shared" si="6"/>
        <v>79.98976131055224</v>
      </c>
      <c r="AJ29" s="164">
        <v>60</v>
      </c>
      <c r="AK29" s="164">
        <v>80</v>
      </c>
    </row>
    <row r="30" spans="1:37" s="144" customFormat="1" ht="24">
      <c r="A30" s="164">
        <v>2</v>
      </c>
      <c r="B30" s="250" t="s">
        <v>456</v>
      </c>
      <c r="C30" s="164">
        <v>107.3</v>
      </c>
      <c r="D30" s="164">
        <f t="shared" si="8"/>
        <v>107.3</v>
      </c>
      <c r="E30" s="170">
        <v>0</v>
      </c>
      <c r="F30" s="170">
        <v>0</v>
      </c>
      <c r="G30" s="170">
        <v>0</v>
      </c>
      <c r="H30" s="170">
        <v>74.899999999999991</v>
      </c>
      <c r="I30" s="164"/>
      <c r="J30" s="164"/>
      <c r="K30" s="164"/>
      <c r="L30" s="164"/>
      <c r="M30" s="170">
        <v>32.400000000000006</v>
      </c>
      <c r="N30" s="164">
        <f t="shared" si="9"/>
        <v>107.3</v>
      </c>
      <c r="O30" s="170">
        <v>0</v>
      </c>
      <c r="P30" s="170">
        <v>0</v>
      </c>
      <c r="Q30" s="170">
        <v>0</v>
      </c>
      <c r="R30" s="170">
        <v>74.899999999999991</v>
      </c>
      <c r="S30" s="170">
        <v>0</v>
      </c>
      <c r="T30" s="170">
        <v>0</v>
      </c>
      <c r="U30" s="170">
        <v>0</v>
      </c>
      <c r="V30" s="170">
        <v>0</v>
      </c>
      <c r="W30" s="170">
        <v>32.400000000000006</v>
      </c>
      <c r="X30" s="164">
        <f t="shared" si="10"/>
        <v>107.3</v>
      </c>
      <c r="Y30" s="164"/>
      <c r="Z30" s="164"/>
      <c r="AA30" s="164"/>
      <c r="AB30" s="164">
        <v>74.899999999999991</v>
      </c>
      <c r="AC30" s="164"/>
      <c r="AD30" s="164"/>
      <c r="AE30" s="164"/>
      <c r="AF30" s="164"/>
      <c r="AG30" s="164">
        <v>32.400000000000006</v>
      </c>
      <c r="AH30" s="164">
        <f t="shared" si="5"/>
        <v>0</v>
      </c>
      <c r="AI30" s="164">
        <f t="shared" si="6"/>
        <v>69.804287045666342</v>
      </c>
      <c r="AJ30" s="164">
        <v>60</v>
      </c>
      <c r="AK30" s="164">
        <v>80</v>
      </c>
    </row>
    <row r="31" spans="1:37" s="144" customFormat="1" ht="36">
      <c r="A31" s="164">
        <v>3</v>
      </c>
      <c r="B31" s="245" t="s">
        <v>457</v>
      </c>
      <c r="C31" s="164">
        <v>234.8</v>
      </c>
      <c r="D31" s="164">
        <f t="shared" si="8"/>
        <v>234.8</v>
      </c>
      <c r="E31" s="170">
        <v>0</v>
      </c>
      <c r="F31" s="170">
        <v>0</v>
      </c>
      <c r="G31" s="170">
        <v>72.155000000000001</v>
      </c>
      <c r="H31" s="170">
        <v>100</v>
      </c>
      <c r="I31" s="164"/>
      <c r="J31" s="164"/>
      <c r="K31" s="164"/>
      <c r="L31" s="164"/>
      <c r="M31" s="170">
        <v>62.64500000000001</v>
      </c>
      <c r="N31" s="164">
        <f t="shared" si="9"/>
        <v>234.8</v>
      </c>
      <c r="O31" s="170">
        <v>0</v>
      </c>
      <c r="P31" s="170">
        <v>0</v>
      </c>
      <c r="Q31" s="170">
        <v>72.155000000000001</v>
      </c>
      <c r="R31" s="170">
        <v>100</v>
      </c>
      <c r="S31" s="170">
        <v>0</v>
      </c>
      <c r="T31" s="170">
        <v>0</v>
      </c>
      <c r="U31" s="170">
        <v>0</v>
      </c>
      <c r="V31" s="170">
        <v>0</v>
      </c>
      <c r="W31" s="170">
        <v>62.64500000000001</v>
      </c>
      <c r="X31" s="164">
        <f t="shared" si="10"/>
        <v>234.8</v>
      </c>
      <c r="Y31" s="164"/>
      <c r="Z31" s="164"/>
      <c r="AA31" s="164">
        <v>72.155000000000001</v>
      </c>
      <c r="AB31" s="164">
        <v>100</v>
      </c>
      <c r="AC31" s="164"/>
      <c r="AD31" s="164"/>
      <c r="AE31" s="164"/>
      <c r="AF31" s="164"/>
      <c r="AG31" s="164">
        <v>62.64500000000001</v>
      </c>
      <c r="AH31" s="164">
        <f t="shared" si="5"/>
        <v>0</v>
      </c>
      <c r="AI31" s="164">
        <f t="shared" si="6"/>
        <v>73.31984667802385</v>
      </c>
      <c r="AJ31" s="164">
        <v>60</v>
      </c>
      <c r="AK31" s="164">
        <v>80</v>
      </c>
    </row>
    <row r="32" spans="1:37" s="144" customFormat="1" ht="24">
      <c r="A32" s="164">
        <v>4</v>
      </c>
      <c r="B32" s="251" t="s">
        <v>302</v>
      </c>
      <c r="C32" s="164">
        <v>564.4</v>
      </c>
      <c r="D32" s="164">
        <f t="shared" si="8"/>
        <v>564.4</v>
      </c>
      <c r="E32" s="170">
        <v>0</v>
      </c>
      <c r="F32" s="170">
        <v>0</v>
      </c>
      <c r="G32" s="170">
        <v>40.331000000000003</v>
      </c>
      <c r="H32" s="170">
        <v>350</v>
      </c>
      <c r="I32" s="164"/>
      <c r="J32" s="164"/>
      <c r="K32" s="164"/>
      <c r="L32" s="164"/>
      <c r="M32" s="170">
        <v>174.06899999999996</v>
      </c>
      <c r="N32" s="164">
        <f t="shared" si="9"/>
        <v>564.4</v>
      </c>
      <c r="O32" s="170">
        <v>0</v>
      </c>
      <c r="P32" s="170">
        <v>0</v>
      </c>
      <c r="Q32" s="170">
        <v>40.331000000000003</v>
      </c>
      <c r="R32" s="170">
        <v>350</v>
      </c>
      <c r="S32" s="170">
        <v>0</v>
      </c>
      <c r="T32" s="170">
        <v>0</v>
      </c>
      <c r="U32" s="170">
        <v>0</v>
      </c>
      <c r="V32" s="170">
        <v>0</v>
      </c>
      <c r="W32" s="170">
        <v>174.06899999999996</v>
      </c>
      <c r="X32" s="164">
        <f t="shared" si="10"/>
        <v>564.4</v>
      </c>
      <c r="Y32" s="164"/>
      <c r="Z32" s="164"/>
      <c r="AA32" s="164">
        <v>40.331000000000003</v>
      </c>
      <c r="AB32" s="164">
        <v>350</v>
      </c>
      <c r="AC32" s="164"/>
      <c r="AD32" s="164"/>
      <c r="AE32" s="164"/>
      <c r="AF32" s="164"/>
      <c r="AG32" s="164">
        <v>174.06899999999996</v>
      </c>
      <c r="AH32" s="164">
        <f t="shared" si="5"/>
        <v>0</v>
      </c>
      <c r="AI32" s="164">
        <f t="shared" si="6"/>
        <v>69.158575478384137</v>
      </c>
      <c r="AJ32" s="164">
        <v>60</v>
      </c>
      <c r="AK32" s="164">
        <v>80</v>
      </c>
    </row>
    <row r="33" spans="1:37" s="144" customFormat="1" ht="36">
      <c r="A33" s="164">
        <v>5</v>
      </c>
      <c r="B33" s="245" t="s">
        <v>458</v>
      </c>
      <c r="C33" s="164">
        <v>778.9</v>
      </c>
      <c r="D33" s="164">
        <f t="shared" si="8"/>
        <v>778.9</v>
      </c>
      <c r="E33" s="170">
        <v>0</v>
      </c>
      <c r="F33" s="170">
        <v>0</v>
      </c>
      <c r="G33" s="170">
        <v>76.992000000000004</v>
      </c>
      <c r="H33" s="170">
        <v>546.12800000000004</v>
      </c>
      <c r="I33" s="164"/>
      <c r="J33" s="164"/>
      <c r="K33" s="164"/>
      <c r="L33" s="164"/>
      <c r="M33" s="170">
        <v>155.77999999999997</v>
      </c>
      <c r="N33" s="164">
        <f t="shared" si="9"/>
        <v>778.9</v>
      </c>
      <c r="O33" s="170">
        <v>0</v>
      </c>
      <c r="P33" s="170">
        <v>0</v>
      </c>
      <c r="Q33" s="170">
        <v>76.992000000000004</v>
      </c>
      <c r="R33" s="170">
        <v>546.12800000000004</v>
      </c>
      <c r="S33" s="170">
        <v>0</v>
      </c>
      <c r="T33" s="170">
        <v>0</v>
      </c>
      <c r="U33" s="170">
        <v>0</v>
      </c>
      <c r="V33" s="170">
        <v>0</v>
      </c>
      <c r="W33" s="170">
        <v>155.77999999999997</v>
      </c>
      <c r="X33" s="164">
        <f t="shared" si="10"/>
        <v>778.9</v>
      </c>
      <c r="Y33" s="164"/>
      <c r="Z33" s="164"/>
      <c r="AA33" s="164">
        <v>76.992000000000004</v>
      </c>
      <c r="AB33" s="164">
        <v>546.12800000000004</v>
      </c>
      <c r="AC33" s="164"/>
      <c r="AD33" s="164"/>
      <c r="AE33" s="164"/>
      <c r="AF33" s="164"/>
      <c r="AG33" s="164">
        <v>155.77999999999997</v>
      </c>
      <c r="AH33" s="164">
        <f t="shared" si="5"/>
        <v>0</v>
      </c>
      <c r="AI33" s="164">
        <f t="shared" si="6"/>
        <v>80</v>
      </c>
      <c r="AJ33" s="164">
        <v>60</v>
      </c>
      <c r="AK33" s="164">
        <v>80</v>
      </c>
    </row>
    <row r="34" spans="1:37" s="144" customFormat="1" ht="24">
      <c r="A34" s="164">
        <v>6</v>
      </c>
      <c r="B34" s="251" t="s">
        <v>342</v>
      </c>
      <c r="C34" s="164">
        <v>1394.5</v>
      </c>
      <c r="D34" s="164">
        <f t="shared" si="8"/>
        <v>1394.5</v>
      </c>
      <c r="E34" s="170">
        <v>0</v>
      </c>
      <c r="F34" s="170">
        <v>0</v>
      </c>
      <c r="G34" s="170">
        <v>131.88200000000001</v>
      </c>
      <c r="H34" s="170">
        <v>983.71800000000007</v>
      </c>
      <c r="I34" s="164"/>
      <c r="J34" s="164"/>
      <c r="K34" s="164"/>
      <c r="L34" s="164"/>
      <c r="M34" s="170">
        <v>278.89999999999986</v>
      </c>
      <c r="N34" s="164">
        <f t="shared" si="9"/>
        <v>1394.5</v>
      </c>
      <c r="O34" s="170">
        <v>0</v>
      </c>
      <c r="P34" s="170">
        <v>0</v>
      </c>
      <c r="Q34" s="170">
        <v>131.88200000000001</v>
      </c>
      <c r="R34" s="170">
        <v>983.71800000000007</v>
      </c>
      <c r="S34" s="170">
        <v>0</v>
      </c>
      <c r="T34" s="170">
        <v>0</v>
      </c>
      <c r="U34" s="170">
        <v>0</v>
      </c>
      <c r="V34" s="170">
        <v>0</v>
      </c>
      <c r="W34" s="170">
        <v>278.89999999999986</v>
      </c>
      <c r="X34" s="164">
        <f t="shared" si="10"/>
        <v>1394.5</v>
      </c>
      <c r="Y34" s="164"/>
      <c r="Z34" s="164"/>
      <c r="AA34" s="164">
        <v>131.88200000000001</v>
      </c>
      <c r="AB34" s="164">
        <v>983.71800000000007</v>
      </c>
      <c r="AC34" s="164"/>
      <c r="AD34" s="164"/>
      <c r="AE34" s="164"/>
      <c r="AF34" s="164"/>
      <c r="AG34" s="164">
        <v>278.89999999999986</v>
      </c>
      <c r="AH34" s="164">
        <f t="shared" si="5"/>
        <v>0</v>
      </c>
      <c r="AI34" s="164">
        <f t="shared" si="6"/>
        <v>80</v>
      </c>
      <c r="AJ34" s="164">
        <v>60</v>
      </c>
      <c r="AK34" s="164">
        <v>80</v>
      </c>
    </row>
    <row r="35" spans="1:37" s="144" customFormat="1" ht="24">
      <c r="A35" s="164">
        <v>7</v>
      </c>
      <c r="B35" s="250" t="s">
        <v>455</v>
      </c>
      <c r="C35" s="164">
        <v>2496.3000000000002</v>
      </c>
      <c r="D35" s="164">
        <f t="shared" si="8"/>
        <v>2496.3000000000002</v>
      </c>
      <c r="E35" s="170">
        <v>962</v>
      </c>
      <c r="F35" s="170">
        <v>0</v>
      </c>
      <c r="G35" s="170">
        <v>0</v>
      </c>
      <c r="H35" s="170">
        <v>1284.67</v>
      </c>
      <c r="I35" s="164"/>
      <c r="J35" s="164"/>
      <c r="K35" s="164"/>
      <c r="L35" s="164"/>
      <c r="M35" s="170">
        <v>249.63000000000011</v>
      </c>
      <c r="N35" s="164">
        <f t="shared" si="9"/>
        <v>2496.3000000000002</v>
      </c>
      <c r="O35" s="170">
        <v>962</v>
      </c>
      <c r="P35" s="170">
        <v>0</v>
      </c>
      <c r="Q35" s="170">
        <v>0</v>
      </c>
      <c r="R35" s="170">
        <v>1284.67</v>
      </c>
      <c r="S35" s="170">
        <v>0</v>
      </c>
      <c r="T35" s="170">
        <v>0</v>
      </c>
      <c r="U35" s="170">
        <v>0</v>
      </c>
      <c r="V35" s="170">
        <v>0</v>
      </c>
      <c r="W35" s="170">
        <v>249.63000000000011</v>
      </c>
      <c r="X35" s="164">
        <f t="shared" si="10"/>
        <v>2496.3000000000002</v>
      </c>
      <c r="Y35" s="164">
        <v>962</v>
      </c>
      <c r="Z35" s="164"/>
      <c r="AA35" s="164"/>
      <c r="AB35" s="164">
        <v>1284.67</v>
      </c>
      <c r="AC35" s="164"/>
      <c r="AD35" s="164"/>
      <c r="AE35" s="164"/>
      <c r="AF35" s="164"/>
      <c r="AG35" s="164">
        <v>249.63000000000011</v>
      </c>
      <c r="AH35" s="164">
        <f t="shared" si="5"/>
        <v>38.537034811521046</v>
      </c>
      <c r="AI35" s="164">
        <f t="shared" si="6"/>
        <v>89.999999999999986</v>
      </c>
      <c r="AJ35" s="164">
        <v>80</v>
      </c>
      <c r="AK35" s="164">
        <v>95</v>
      </c>
    </row>
    <row r="36" spans="1:37" s="161" customFormat="1" ht="12">
      <c r="A36" s="168"/>
      <c r="B36" s="249" t="s">
        <v>262</v>
      </c>
      <c r="C36" s="160">
        <f>SUM(C37:C51)</f>
        <v>15777</v>
      </c>
      <c r="D36" s="160">
        <f t="shared" ref="D36:AG36" si="12">SUM(D37:D51)</f>
        <v>15777</v>
      </c>
      <c r="E36" s="160">
        <f t="shared" si="12"/>
        <v>461</v>
      </c>
      <c r="F36" s="160">
        <f t="shared" si="12"/>
        <v>4336.9634999999998</v>
      </c>
      <c r="G36" s="160">
        <f t="shared" si="12"/>
        <v>450.11150000000009</v>
      </c>
      <c r="H36" s="160">
        <f t="shared" si="12"/>
        <v>7172.3849999999984</v>
      </c>
      <c r="I36" s="160">
        <f t="shared" si="12"/>
        <v>0</v>
      </c>
      <c r="J36" s="160">
        <f t="shared" si="12"/>
        <v>0</v>
      </c>
      <c r="K36" s="160">
        <f t="shared" si="12"/>
        <v>0</v>
      </c>
      <c r="L36" s="160">
        <f t="shared" si="12"/>
        <v>0</v>
      </c>
      <c r="M36" s="160">
        <f t="shared" si="12"/>
        <v>3356.5400000000009</v>
      </c>
      <c r="N36" s="160">
        <f t="shared" si="12"/>
        <v>15777</v>
      </c>
      <c r="O36" s="160">
        <f t="shared" si="12"/>
        <v>461</v>
      </c>
      <c r="P36" s="160">
        <f t="shared" si="12"/>
        <v>4336.9634999999998</v>
      </c>
      <c r="Q36" s="160">
        <f t="shared" si="12"/>
        <v>450.11150000000009</v>
      </c>
      <c r="R36" s="160">
        <f t="shared" si="12"/>
        <v>7172.3849999999984</v>
      </c>
      <c r="S36" s="160">
        <f t="shared" si="12"/>
        <v>0</v>
      </c>
      <c r="T36" s="160">
        <f t="shared" si="12"/>
        <v>0</v>
      </c>
      <c r="U36" s="160">
        <f t="shared" si="12"/>
        <v>0</v>
      </c>
      <c r="V36" s="160">
        <f t="shared" si="12"/>
        <v>0</v>
      </c>
      <c r="W36" s="160">
        <f t="shared" si="12"/>
        <v>3356.5400000000009</v>
      </c>
      <c r="X36" s="160">
        <f t="shared" si="12"/>
        <v>15777</v>
      </c>
      <c r="Y36" s="160">
        <f t="shared" si="12"/>
        <v>461</v>
      </c>
      <c r="Z36" s="160">
        <f t="shared" si="12"/>
        <v>4336.9634999999998</v>
      </c>
      <c r="AA36" s="160">
        <f t="shared" si="12"/>
        <v>450.11150000000009</v>
      </c>
      <c r="AB36" s="160">
        <f t="shared" si="12"/>
        <v>7172.3849999999984</v>
      </c>
      <c r="AC36" s="160">
        <f t="shared" si="12"/>
        <v>0</v>
      </c>
      <c r="AD36" s="160">
        <f t="shared" si="12"/>
        <v>0</v>
      </c>
      <c r="AE36" s="160">
        <f t="shared" si="12"/>
        <v>0</v>
      </c>
      <c r="AF36" s="160">
        <f t="shared" si="12"/>
        <v>0</v>
      </c>
      <c r="AG36" s="160">
        <f t="shared" si="12"/>
        <v>3356.5400000000009</v>
      </c>
      <c r="AH36" s="160"/>
      <c r="AI36" s="160"/>
      <c r="AJ36" s="160"/>
      <c r="AK36" s="160"/>
    </row>
    <row r="37" spans="1:37" s="144" customFormat="1" ht="48">
      <c r="A37" s="164">
        <v>1</v>
      </c>
      <c r="B37" s="252" t="s">
        <v>459</v>
      </c>
      <c r="C37" s="164">
        <v>5799.6</v>
      </c>
      <c r="D37" s="164">
        <f t="shared" si="8"/>
        <v>5799.6</v>
      </c>
      <c r="E37" s="170">
        <v>461</v>
      </c>
      <c r="F37" s="170">
        <v>3886.8519999999999</v>
      </c>
      <c r="G37" s="170">
        <v>0</v>
      </c>
      <c r="H37" s="170">
        <v>1161.768</v>
      </c>
      <c r="I37" s="164"/>
      <c r="J37" s="164"/>
      <c r="K37" s="164"/>
      <c r="L37" s="164"/>
      <c r="M37" s="170">
        <v>289.98000000000047</v>
      </c>
      <c r="N37" s="164">
        <f t="shared" si="9"/>
        <v>5799.6</v>
      </c>
      <c r="O37" s="164">
        <v>461</v>
      </c>
      <c r="P37" s="170">
        <v>3886.8519999999999</v>
      </c>
      <c r="Q37" s="170">
        <v>0</v>
      </c>
      <c r="R37" s="170">
        <v>1161.768</v>
      </c>
      <c r="S37" s="170">
        <v>0</v>
      </c>
      <c r="T37" s="170">
        <v>0</v>
      </c>
      <c r="U37" s="170">
        <v>0</v>
      </c>
      <c r="V37" s="170">
        <v>0</v>
      </c>
      <c r="W37" s="170">
        <v>289.98000000000047</v>
      </c>
      <c r="X37" s="164">
        <f t="shared" si="10"/>
        <v>5799.6</v>
      </c>
      <c r="Y37" s="164">
        <v>461</v>
      </c>
      <c r="Z37" s="164">
        <v>3886.8519999999999</v>
      </c>
      <c r="AA37" s="164"/>
      <c r="AB37" s="164">
        <v>1161.768</v>
      </c>
      <c r="AC37" s="164"/>
      <c r="AD37" s="164"/>
      <c r="AE37" s="164"/>
      <c r="AF37" s="164"/>
      <c r="AG37" s="164">
        <v>289.98000000000047</v>
      </c>
      <c r="AH37" s="164">
        <f t="shared" si="5"/>
        <v>74.968135733498855</v>
      </c>
      <c r="AI37" s="164">
        <f t="shared" si="6"/>
        <v>95</v>
      </c>
      <c r="AJ37" s="164">
        <v>80</v>
      </c>
      <c r="AK37" s="164">
        <v>95</v>
      </c>
    </row>
    <row r="38" spans="1:37" s="144" customFormat="1" ht="36">
      <c r="A38" s="164">
        <v>2</v>
      </c>
      <c r="B38" s="251" t="s">
        <v>331</v>
      </c>
      <c r="C38" s="164">
        <v>366.7</v>
      </c>
      <c r="D38" s="164">
        <f t="shared" si="8"/>
        <v>366.7</v>
      </c>
      <c r="E38" s="170">
        <v>0</v>
      </c>
      <c r="F38" s="170">
        <v>0</v>
      </c>
      <c r="G38" s="170">
        <v>0</v>
      </c>
      <c r="H38" s="170">
        <v>183.35</v>
      </c>
      <c r="I38" s="164"/>
      <c r="J38" s="164"/>
      <c r="K38" s="164"/>
      <c r="L38" s="164"/>
      <c r="M38" s="170">
        <v>183.35</v>
      </c>
      <c r="N38" s="164">
        <f t="shared" si="9"/>
        <v>366.7</v>
      </c>
      <c r="O38" s="170">
        <v>0</v>
      </c>
      <c r="P38" s="170">
        <v>0</v>
      </c>
      <c r="Q38" s="170">
        <v>0</v>
      </c>
      <c r="R38" s="170">
        <v>183.35</v>
      </c>
      <c r="S38" s="170">
        <v>0</v>
      </c>
      <c r="T38" s="170">
        <v>0</v>
      </c>
      <c r="U38" s="170">
        <v>0</v>
      </c>
      <c r="V38" s="170">
        <v>0</v>
      </c>
      <c r="W38" s="170">
        <v>183.35</v>
      </c>
      <c r="X38" s="164">
        <f t="shared" si="10"/>
        <v>366.7</v>
      </c>
      <c r="Y38" s="164"/>
      <c r="Z38" s="164"/>
      <c r="AA38" s="164"/>
      <c r="AB38" s="164">
        <v>183.35</v>
      </c>
      <c r="AC38" s="164"/>
      <c r="AD38" s="164"/>
      <c r="AE38" s="164"/>
      <c r="AF38" s="164"/>
      <c r="AG38" s="164">
        <v>183.35</v>
      </c>
      <c r="AH38" s="164">
        <f t="shared" si="5"/>
        <v>0</v>
      </c>
      <c r="AI38" s="164">
        <f t="shared" si="6"/>
        <v>50</v>
      </c>
      <c r="AJ38" s="164">
        <v>60</v>
      </c>
      <c r="AK38" s="164">
        <v>80</v>
      </c>
    </row>
    <row r="39" spans="1:37" s="144" customFormat="1" ht="36">
      <c r="A39" s="164">
        <v>3</v>
      </c>
      <c r="B39" s="251" t="s">
        <v>330</v>
      </c>
      <c r="C39" s="164">
        <v>902.2</v>
      </c>
      <c r="D39" s="164">
        <f t="shared" si="8"/>
        <v>902.2</v>
      </c>
      <c r="E39" s="170">
        <v>0</v>
      </c>
      <c r="F39" s="170">
        <v>43.859499999999997</v>
      </c>
      <c r="G39" s="170">
        <v>43.859499999999997</v>
      </c>
      <c r="H39" s="170">
        <v>543.82099999999991</v>
      </c>
      <c r="I39" s="164"/>
      <c r="J39" s="164"/>
      <c r="K39" s="164"/>
      <c r="L39" s="164"/>
      <c r="M39" s="170">
        <v>270.66000000000008</v>
      </c>
      <c r="N39" s="164">
        <f t="shared" si="9"/>
        <v>902.2</v>
      </c>
      <c r="O39" s="170">
        <v>0</v>
      </c>
      <c r="P39" s="170">
        <v>43.859499999999997</v>
      </c>
      <c r="Q39" s="170">
        <v>43.859499999999997</v>
      </c>
      <c r="R39" s="170">
        <v>543.82099999999991</v>
      </c>
      <c r="S39" s="170">
        <v>0</v>
      </c>
      <c r="T39" s="170">
        <v>0</v>
      </c>
      <c r="U39" s="170">
        <v>0</v>
      </c>
      <c r="V39" s="170">
        <v>0</v>
      </c>
      <c r="W39" s="170">
        <v>270.66000000000008</v>
      </c>
      <c r="X39" s="164">
        <f t="shared" si="10"/>
        <v>902.2</v>
      </c>
      <c r="Y39" s="164"/>
      <c r="Z39" s="164">
        <v>43.859499999999997</v>
      </c>
      <c r="AA39" s="164">
        <v>43.859499999999997</v>
      </c>
      <c r="AB39" s="164">
        <v>543.82099999999991</v>
      </c>
      <c r="AC39" s="164"/>
      <c r="AD39" s="164"/>
      <c r="AE39" s="164"/>
      <c r="AF39" s="164"/>
      <c r="AG39" s="164">
        <v>270.66000000000008</v>
      </c>
      <c r="AH39" s="164">
        <f t="shared" si="5"/>
        <v>4.8613943693194415</v>
      </c>
      <c r="AI39" s="164">
        <f t="shared" si="6"/>
        <v>70</v>
      </c>
      <c r="AJ39" s="164">
        <v>60</v>
      </c>
      <c r="AK39" s="164">
        <v>80</v>
      </c>
    </row>
    <row r="40" spans="1:37" s="144" customFormat="1" ht="24">
      <c r="A40" s="164">
        <v>4</v>
      </c>
      <c r="B40" s="251" t="s">
        <v>343</v>
      </c>
      <c r="C40" s="164">
        <v>863.3</v>
      </c>
      <c r="D40" s="164">
        <f t="shared" si="8"/>
        <v>863.3</v>
      </c>
      <c r="E40" s="170">
        <v>0</v>
      </c>
      <c r="F40" s="170">
        <v>52.329500000000003</v>
      </c>
      <c r="G40" s="170">
        <v>52.329500000000003</v>
      </c>
      <c r="H40" s="170">
        <v>499.6509999999999</v>
      </c>
      <c r="I40" s="164"/>
      <c r="J40" s="164"/>
      <c r="K40" s="164"/>
      <c r="L40" s="164"/>
      <c r="M40" s="170">
        <v>258.98999999999995</v>
      </c>
      <c r="N40" s="164">
        <f t="shared" si="9"/>
        <v>863.3</v>
      </c>
      <c r="O40" s="170">
        <v>0</v>
      </c>
      <c r="P40" s="170">
        <v>52.329500000000003</v>
      </c>
      <c r="Q40" s="170">
        <v>52.329500000000003</v>
      </c>
      <c r="R40" s="170">
        <v>499.6509999999999</v>
      </c>
      <c r="S40" s="170">
        <v>0</v>
      </c>
      <c r="T40" s="170">
        <v>0</v>
      </c>
      <c r="U40" s="170">
        <v>0</v>
      </c>
      <c r="V40" s="170">
        <v>0</v>
      </c>
      <c r="W40" s="170">
        <v>258.98999999999995</v>
      </c>
      <c r="X40" s="164">
        <f t="shared" si="10"/>
        <v>863.3</v>
      </c>
      <c r="Y40" s="164"/>
      <c r="Z40" s="164">
        <v>52.329500000000003</v>
      </c>
      <c r="AA40" s="164">
        <v>52.329500000000003</v>
      </c>
      <c r="AB40" s="164">
        <v>499.6509999999999</v>
      </c>
      <c r="AC40" s="164"/>
      <c r="AD40" s="164"/>
      <c r="AE40" s="164"/>
      <c r="AF40" s="164"/>
      <c r="AG40" s="164">
        <v>258.98999999999995</v>
      </c>
      <c r="AH40" s="164">
        <f t="shared" si="5"/>
        <v>6.0615660836325729</v>
      </c>
      <c r="AI40" s="164">
        <f t="shared" si="6"/>
        <v>70</v>
      </c>
      <c r="AJ40" s="164">
        <v>60</v>
      </c>
      <c r="AK40" s="164">
        <v>80</v>
      </c>
    </row>
    <row r="41" spans="1:37" s="144" customFormat="1" ht="24">
      <c r="A41" s="164">
        <v>5</v>
      </c>
      <c r="B41" s="251" t="s">
        <v>344</v>
      </c>
      <c r="C41" s="164">
        <v>867.2</v>
      </c>
      <c r="D41" s="164">
        <f t="shared" si="8"/>
        <v>867.2</v>
      </c>
      <c r="E41" s="170">
        <v>0</v>
      </c>
      <c r="F41" s="170">
        <v>30.860499999999998</v>
      </c>
      <c r="G41" s="170">
        <v>30.860499999999998</v>
      </c>
      <c r="H41" s="170">
        <v>545.31899999999996</v>
      </c>
      <c r="I41" s="164"/>
      <c r="J41" s="164"/>
      <c r="K41" s="164"/>
      <c r="L41" s="164"/>
      <c r="M41" s="170">
        <v>260.16000000000008</v>
      </c>
      <c r="N41" s="164">
        <f t="shared" si="9"/>
        <v>867.2</v>
      </c>
      <c r="O41" s="170">
        <v>0</v>
      </c>
      <c r="P41" s="170">
        <v>30.860499999999998</v>
      </c>
      <c r="Q41" s="170">
        <v>30.860499999999998</v>
      </c>
      <c r="R41" s="170">
        <v>545.31899999999996</v>
      </c>
      <c r="S41" s="170">
        <v>0</v>
      </c>
      <c r="T41" s="170">
        <v>0</v>
      </c>
      <c r="U41" s="170">
        <v>0</v>
      </c>
      <c r="V41" s="170">
        <v>0</v>
      </c>
      <c r="W41" s="170">
        <v>260.16000000000008</v>
      </c>
      <c r="X41" s="164">
        <f t="shared" si="10"/>
        <v>867.2</v>
      </c>
      <c r="Y41" s="164"/>
      <c r="Z41" s="164">
        <v>30.860499999999998</v>
      </c>
      <c r="AA41" s="164">
        <v>30.860499999999998</v>
      </c>
      <c r="AB41" s="164">
        <v>545.31899999999996</v>
      </c>
      <c r="AC41" s="164"/>
      <c r="AD41" s="164"/>
      <c r="AE41" s="164"/>
      <c r="AF41" s="164"/>
      <c r="AG41" s="164">
        <v>260.16000000000008</v>
      </c>
      <c r="AH41" s="164">
        <f t="shared" si="5"/>
        <v>3.5586369926199257</v>
      </c>
      <c r="AI41" s="164">
        <f t="shared" si="6"/>
        <v>70</v>
      </c>
      <c r="AJ41" s="164">
        <v>60</v>
      </c>
      <c r="AK41" s="164">
        <v>80</v>
      </c>
    </row>
    <row r="42" spans="1:37" s="144" customFormat="1" ht="48">
      <c r="A42" s="164">
        <v>6</v>
      </c>
      <c r="B42" s="251" t="s">
        <v>345</v>
      </c>
      <c r="C42" s="164">
        <v>858.2</v>
      </c>
      <c r="D42" s="164">
        <f t="shared" si="8"/>
        <v>858.2</v>
      </c>
      <c r="E42" s="170">
        <v>0</v>
      </c>
      <c r="F42" s="170">
        <v>33.645000000000003</v>
      </c>
      <c r="G42" s="170">
        <v>33.645000000000003</v>
      </c>
      <c r="H42" s="170">
        <v>533.45000000000005</v>
      </c>
      <c r="I42" s="164"/>
      <c r="J42" s="164"/>
      <c r="K42" s="164"/>
      <c r="L42" s="164"/>
      <c r="M42" s="170">
        <v>257.46000000000004</v>
      </c>
      <c r="N42" s="164">
        <f t="shared" si="9"/>
        <v>858.2</v>
      </c>
      <c r="O42" s="170">
        <v>0</v>
      </c>
      <c r="P42" s="170">
        <v>33.645000000000003</v>
      </c>
      <c r="Q42" s="170">
        <v>33.645000000000003</v>
      </c>
      <c r="R42" s="170">
        <v>533.45000000000005</v>
      </c>
      <c r="S42" s="170">
        <v>0</v>
      </c>
      <c r="T42" s="170">
        <v>0</v>
      </c>
      <c r="U42" s="170">
        <v>0</v>
      </c>
      <c r="V42" s="170">
        <v>0</v>
      </c>
      <c r="W42" s="170">
        <v>257.46000000000004</v>
      </c>
      <c r="X42" s="164">
        <f t="shared" si="10"/>
        <v>858.2</v>
      </c>
      <c r="Y42" s="164"/>
      <c r="Z42" s="164">
        <v>33.645000000000003</v>
      </c>
      <c r="AA42" s="164">
        <v>33.645000000000003</v>
      </c>
      <c r="AB42" s="164">
        <v>533.45000000000005</v>
      </c>
      <c r="AC42" s="164"/>
      <c r="AD42" s="164"/>
      <c r="AE42" s="164"/>
      <c r="AF42" s="164"/>
      <c r="AG42" s="164">
        <v>257.46000000000004</v>
      </c>
      <c r="AH42" s="164">
        <f t="shared" si="5"/>
        <v>3.9204148217198789</v>
      </c>
      <c r="AI42" s="164">
        <f t="shared" si="6"/>
        <v>70</v>
      </c>
      <c r="AJ42" s="164">
        <v>60</v>
      </c>
      <c r="AK42" s="164">
        <v>80</v>
      </c>
    </row>
    <row r="43" spans="1:37" s="144" customFormat="1" ht="36">
      <c r="A43" s="164">
        <v>7</v>
      </c>
      <c r="B43" s="251" t="s">
        <v>346</v>
      </c>
      <c r="C43" s="164">
        <v>860.2</v>
      </c>
      <c r="D43" s="164">
        <f t="shared" si="8"/>
        <v>860.2</v>
      </c>
      <c r="E43" s="170">
        <v>0</v>
      </c>
      <c r="F43" s="170">
        <v>31.49</v>
      </c>
      <c r="G43" s="170">
        <v>31.49</v>
      </c>
      <c r="H43" s="170">
        <v>539.16</v>
      </c>
      <c r="I43" s="164"/>
      <c r="J43" s="164"/>
      <c r="K43" s="164"/>
      <c r="L43" s="164"/>
      <c r="M43" s="170">
        <v>258.06000000000006</v>
      </c>
      <c r="N43" s="164">
        <f t="shared" si="9"/>
        <v>860.2</v>
      </c>
      <c r="O43" s="170">
        <v>0</v>
      </c>
      <c r="P43" s="170">
        <v>31.49</v>
      </c>
      <c r="Q43" s="170">
        <v>31.49</v>
      </c>
      <c r="R43" s="170">
        <v>539.16</v>
      </c>
      <c r="S43" s="170">
        <v>0</v>
      </c>
      <c r="T43" s="170">
        <v>0</v>
      </c>
      <c r="U43" s="170">
        <v>0</v>
      </c>
      <c r="V43" s="170">
        <v>0</v>
      </c>
      <c r="W43" s="170">
        <v>258.06000000000006</v>
      </c>
      <c r="X43" s="164">
        <f t="shared" si="10"/>
        <v>860.2</v>
      </c>
      <c r="Y43" s="164"/>
      <c r="Z43" s="164">
        <v>31.49</v>
      </c>
      <c r="AA43" s="164">
        <v>31.49</v>
      </c>
      <c r="AB43" s="164">
        <v>539.16</v>
      </c>
      <c r="AC43" s="164"/>
      <c r="AD43" s="164"/>
      <c r="AE43" s="164"/>
      <c r="AF43" s="164"/>
      <c r="AG43" s="164">
        <v>258.06000000000006</v>
      </c>
      <c r="AH43" s="164">
        <f t="shared" si="5"/>
        <v>3.6607765635898626</v>
      </c>
      <c r="AI43" s="164">
        <f t="shared" si="6"/>
        <v>70</v>
      </c>
      <c r="AJ43" s="164">
        <v>60</v>
      </c>
      <c r="AK43" s="164">
        <v>80</v>
      </c>
    </row>
    <row r="44" spans="1:37" s="144" customFormat="1" ht="36">
      <c r="A44" s="164">
        <v>8</v>
      </c>
      <c r="B44" s="251" t="s">
        <v>347</v>
      </c>
      <c r="C44" s="164">
        <v>749.9</v>
      </c>
      <c r="D44" s="164">
        <f t="shared" si="8"/>
        <v>749.9</v>
      </c>
      <c r="E44" s="170">
        <v>0</v>
      </c>
      <c r="F44" s="170">
        <v>29.600999999999999</v>
      </c>
      <c r="G44" s="170">
        <v>29.600999999999999</v>
      </c>
      <c r="H44" s="170">
        <v>465.72799999999995</v>
      </c>
      <c r="I44" s="164"/>
      <c r="J44" s="164"/>
      <c r="K44" s="164"/>
      <c r="L44" s="164"/>
      <c r="M44" s="170">
        <v>224.97000000000003</v>
      </c>
      <c r="N44" s="164">
        <f t="shared" si="9"/>
        <v>749.9</v>
      </c>
      <c r="O44" s="170">
        <v>0</v>
      </c>
      <c r="P44" s="170">
        <v>29.600999999999999</v>
      </c>
      <c r="Q44" s="170">
        <v>29.600999999999999</v>
      </c>
      <c r="R44" s="170">
        <v>465.72799999999995</v>
      </c>
      <c r="S44" s="170">
        <v>0</v>
      </c>
      <c r="T44" s="170">
        <v>0</v>
      </c>
      <c r="U44" s="170">
        <v>0</v>
      </c>
      <c r="V44" s="170">
        <v>0</v>
      </c>
      <c r="W44" s="170">
        <v>224.97000000000003</v>
      </c>
      <c r="X44" s="164">
        <f t="shared" si="10"/>
        <v>749.9</v>
      </c>
      <c r="Y44" s="164"/>
      <c r="Z44" s="164">
        <v>29.600999999999999</v>
      </c>
      <c r="AA44" s="164">
        <v>29.600999999999999</v>
      </c>
      <c r="AB44" s="164">
        <v>465.72799999999995</v>
      </c>
      <c r="AC44" s="164"/>
      <c r="AD44" s="164"/>
      <c r="AE44" s="164"/>
      <c r="AF44" s="164"/>
      <c r="AG44" s="164">
        <v>224.97000000000003</v>
      </c>
      <c r="AH44" s="164">
        <f t="shared" si="5"/>
        <v>3.9473263101746898</v>
      </c>
      <c r="AI44" s="164">
        <f t="shared" si="6"/>
        <v>70</v>
      </c>
      <c r="AJ44" s="164">
        <v>60</v>
      </c>
      <c r="AK44" s="164">
        <v>80</v>
      </c>
    </row>
    <row r="45" spans="1:37" s="144" customFormat="1" ht="24">
      <c r="A45" s="164">
        <v>9</v>
      </c>
      <c r="B45" s="251" t="s">
        <v>348</v>
      </c>
      <c r="C45" s="164">
        <v>183.8</v>
      </c>
      <c r="D45" s="164">
        <f t="shared" si="8"/>
        <v>183.79999999999998</v>
      </c>
      <c r="E45" s="170">
        <v>0</v>
      </c>
      <c r="F45" s="170">
        <v>12.715999999999999</v>
      </c>
      <c r="G45" s="170">
        <v>12.715999999999999</v>
      </c>
      <c r="H45" s="170">
        <v>103.22800000000001</v>
      </c>
      <c r="I45" s="164"/>
      <c r="J45" s="164"/>
      <c r="K45" s="164"/>
      <c r="L45" s="164"/>
      <c r="M45" s="170">
        <v>55.139999999999986</v>
      </c>
      <c r="N45" s="164">
        <f t="shared" si="9"/>
        <v>183.79999999999998</v>
      </c>
      <c r="O45" s="170">
        <v>0</v>
      </c>
      <c r="P45" s="170">
        <v>12.715999999999999</v>
      </c>
      <c r="Q45" s="170">
        <v>12.715999999999999</v>
      </c>
      <c r="R45" s="170">
        <v>103.22800000000001</v>
      </c>
      <c r="S45" s="170">
        <v>0</v>
      </c>
      <c r="T45" s="170">
        <v>0</v>
      </c>
      <c r="U45" s="170">
        <v>0</v>
      </c>
      <c r="V45" s="170">
        <v>0</v>
      </c>
      <c r="W45" s="170">
        <v>55.139999999999986</v>
      </c>
      <c r="X45" s="164">
        <f t="shared" si="10"/>
        <v>183.79999999999998</v>
      </c>
      <c r="Y45" s="164"/>
      <c r="Z45" s="164">
        <v>12.715999999999999</v>
      </c>
      <c r="AA45" s="164">
        <v>12.715999999999999</v>
      </c>
      <c r="AB45" s="164">
        <v>103.22800000000001</v>
      </c>
      <c r="AC45" s="164"/>
      <c r="AD45" s="164"/>
      <c r="AE45" s="164"/>
      <c r="AF45" s="164"/>
      <c r="AG45" s="164">
        <v>55.139999999999986</v>
      </c>
      <c r="AH45" s="164">
        <f t="shared" si="5"/>
        <v>6.9183895538628946</v>
      </c>
      <c r="AI45" s="164">
        <f t="shared" si="6"/>
        <v>70</v>
      </c>
      <c r="AJ45" s="164">
        <v>60</v>
      </c>
      <c r="AK45" s="164">
        <v>80</v>
      </c>
    </row>
    <row r="46" spans="1:37" s="144" customFormat="1" ht="24">
      <c r="A46" s="164">
        <v>10</v>
      </c>
      <c r="B46" s="251" t="s">
        <v>349</v>
      </c>
      <c r="C46" s="164">
        <v>493.5</v>
      </c>
      <c r="D46" s="164">
        <f t="shared" si="8"/>
        <v>493.50000000000006</v>
      </c>
      <c r="E46" s="170">
        <v>0</v>
      </c>
      <c r="F46" s="170">
        <v>22.044</v>
      </c>
      <c r="G46" s="170">
        <v>22.044</v>
      </c>
      <c r="H46" s="170">
        <v>301.36200000000002</v>
      </c>
      <c r="I46" s="164"/>
      <c r="J46" s="164"/>
      <c r="K46" s="164"/>
      <c r="L46" s="164"/>
      <c r="M46" s="170">
        <v>148.05000000000001</v>
      </c>
      <c r="N46" s="164">
        <f t="shared" si="9"/>
        <v>493.50000000000006</v>
      </c>
      <c r="O46" s="170">
        <v>0</v>
      </c>
      <c r="P46" s="170">
        <v>22.044</v>
      </c>
      <c r="Q46" s="170">
        <v>22.044</v>
      </c>
      <c r="R46" s="170">
        <v>301.36200000000002</v>
      </c>
      <c r="S46" s="170">
        <v>0</v>
      </c>
      <c r="T46" s="170">
        <v>0</v>
      </c>
      <c r="U46" s="170">
        <v>0</v>
      </c>
      <c r="V46" s="170">
        <v>0</v>
      </c>
      <c r="W46" s="170">
        <v>148.05000000000001</v>
      </c>
      <c r="X46" s="164">
        <f t="shared" si="10"/>
        <v>493.50000000000006</v>
      </c>
      <c r="Y46" s="164"/>
      <c r="Z46" s="164">
        <v>22.044</v>
      </c>
      <c r="AA46" s="164">
        <v>22.044</v>
      </c>
      <c r="AB46" s="164">
        <v>301.36200000000002</v>
      </c>
      <c r="AC46" s="164"/>
      <c r="AD46" s="164"/>
      <c r="AE46" s="164"/>
      <c r="AF46" s="164"/>
      <c r="AG46" s="164">
        <v>148.05000000000001</v>
      </c>
      <c r="AH46" s="164">
        <f t="shared" si="5"/>
        <v>4.4668693009118545</v>
      </c>
      <c r="AI46" s="164">
        <f t="shared" si="6"/>
        <v>70</v>
      </c>
      <c r="AJ46" s="164">
        <v>60</v>
      </c>
      <c r="AK46" s="164">
        <v>80</v>
      </c>
    </row>
    <row r="47" spans="1:37" s="144" customFormat="1" ht="24">
      <c r="A47" s="164">
        <v>11</v>
      </c>
      <c r="B47" s="251" t="s">
        <v>350</v>
      </c>
      <c r="C47" s="164">
        <v>980.6</v>
      </c>
      <c r="D47" s="164">
        <f t="shared" si="8"/>
        <v>980.6</v>
      </c>
      <c r="E47" s="170">
        <v>0</v>
      </c>
      <c r="F47" s="170">
        <v>35.898499999999999</v>
      </c>
      <c r="G47" s="170">
        <v>35.898499999999999</v>
      </c>
      <c r="H47" s="170">
        <v>614.62299999999993</v>
      </c>
      <c r="I47" s="164"/>
      <c r="J47" s="164"/>
      <c r="K47" s="164"/>
      <c r="L47" s="164"/>
      <c r="M47" s="170">
        <v>294.18000000000006</v>
      </c>
      <c r="N47" s="164">
        <f t="shared" si="9"/>
        <v>980.6</v>
      </c>
      <c r="O47" s="170">
        <v>0</v>
      </c>
      <c r="P47" s="170">
        <v>35.898499999999999</v>
      </c>
      <c r="Q47" s="170">
        <v>35.898499999999999</v>
      </c>
      <c r="R47" s="170">
        <v>614.62299999999993</v>
      </c>
      <c r="S47" s="170">
        <v>0</v>
      </c>
      <c r="T47" s="170">
        <v>0</v>
      </c>
      <c r="U47" s="170">
        <v>0</v>
      </c>
      <c r="V47" s="170">
        <v>0</v>
      </c>
      <c r="W47" s="170">
        <v>294.18000000000006</v>
      </c>
      <c r="X47" s="164">
        <f t="shared" si="10"/>
        <v>980.6</v>
      </c>
      <c r="Y47" s="164"/>
      <c r="Z47" s="164">
        <v>35.898499999999999</v>
      </c>
      <c r="AA47" s="164">
        <v>35.898499999999999</v>
      </c>
      <c r="AB47" s="164">
        <v>614.62299999999993</v>
      </c>
      <c r="AC47" s="164"/>
      <c r="AD47" s="164"/>
      <c r="AE47" s="164"/>
      <c r="AF47" s="164"/>
      <c r="AG47" s="164">
        <v>294.18000000000006</v>
      </c>
      <c r="AH47" s="164">
        <f t="shared" si="5"/>
        <v>3.6608708953701816</v>
      </c>
      <c r="AI47" s="164">
        <f t="shared" si="6"/>
        <v>70</v>
      </c>
      <c r="AJ47" s="164">
        <v>60</v>
      </c>
      <c r="AK47" s="164">
        <v>80</v>
      </c>
    </row>
    <row r="48" spans="1:37" s="144" customFormat="1" ht="24">
      <c r="A48" s="164">
        <v>12</v>
      </c>
      <c r="B48" s="251" t="s">
        <v>351</v>
      </c>
      <c r="C48" s="164">
        <v>912.5</v>
      </c>
      <c r="D48" s="164">
        <f t="shared" si="8"/>
        <v>912.50000000000011</v>
      </c>
      <c r="E48" s="170">
        <v>0</v>
      </c>
      <c r="F48" s="170">
        <v>58.530999999999999</v>
      </c>
      <c r="G48" s="170">
        <v>58.530999999999999</v>
      </c>
      <c r="H48" s="170">
        <v>521.6880000000001</v>
      </c>
      <c r="I48" s="164"/>
      <c r="J48" s="164"/>
      <c r="K48" s="164"/>
      <c r="L48" s="164"/>
      <c r="M48" s="170">
        <v>273.75</v>
      </c>
      <c r="N48" s="164">
        <f t="shared" si="9"/>
        <v>912.50000000000011</v>
      </c>
      <c r="O48" s="170">
        <v>0</v>
      </c>
      <c r="P48" s="170">
        <v>58.530999999999999</v>
      </c>
      <c r="Q48" s="170">
        <v>58.530999999999999</v>
      </c>
      <c r="R48" s="170">
        <v>521.6880000000001</v>
      </c>
      <c r="S48" s="170">
        <v>0</v>
      </c>
      <c r="T48" s="170">
        <v>0</v>
      </c>
      <c r="U48" s="170">
        <v>0</v>
      </c>
      <c r="V48" s="170">
        <v>0</v>
      </c>
      <c r="W48" s="170">
        <v>273.75</v>
      </c>
      <c r="X48" s="164">
        <f t="shared" si="10"/>
        <v>912.50000000000011</v>
      </c>
      <c r="Y48" s="164"/>
      <c r="Z48" s="164">
        <v>58.530999999999999</v>
      </c>
      <c r="AA48" s="164">
        <v>58.530999999999999</v>
      </c>
      <c r="AB48" s="164">
        <v>521.6880000000001</v>
      </c>
      <c r="AC48" s="164"/>
      <c r="AD48" s="164"/>
      <c r="AE48" s="164"/>
      <c r="AF48" s="164"/>
      <c r="AG48" s="164">
        <v>273.75</v>
      </c>
      <c r="AH48" s="164">
        <f t="shared" si="5"/>
        <v>6.4143561643835607</v>
      </c>
      <c r="AI48" s="164">
        <f t="shared" si="6"/>
        <v>70.000000000000014</v>
      </c>
      <c r="AJ48" s="164">
        <v>60</v>
      </c>
      <c r="AK48" s="164">
        <v>80</v>
      </c>
    </row>
    <row r="49" spans="1:37" s="144" customFormat="1" ht="24">
      <c r="A49" s="164">
        <v>13</v>
      </c>
      <c r="B49" s="251" t="s">
        <v>352</v>
      </c>
      <c r="C49" s="164">
        <v>811.8</v>
      </c>
      <c r="D49" s="164">
        <f t="shared" si="8"/>
        <v>811.8</v>
      </c>
      <c r="E49" s="170">
        <v>0</v>
      </c>
      <c r="F49" s="170">
        <v>32.747</v>
      </c>
      <c r="G49" s="170">
        <v>32.747</v>
      </c>
      <c r="H49" s="170">
        <v>502.76599999999991</v>
      </c>
      <c r="I49" s="164"/>
      <c r="J49" s="164"/>
      <c r="K49" s="164"/>
      <c r="L49" s="164"/>
      <c r="M49" s="170">
        <v>243.54000000000013</v>
      </c>
      <c r="N49" s="164">
        <f t="shared" si="9"/>
        <v>811.8</v>
      </c>
      <c r="O49" s="170">
        <v>0</v>
      </c>
      <c r="P49" s="170">
        <v>32.747</v>
      </c>
      <c r="Q49" s="170">
        <v>32.747</v>
      </c>
      <c r="R49" s="170">
        <v>502.76599999999991</v>
      </c>
      <c r="S49" s="170">
        <v>0</v>
      </c>
      <c r="T49" s="170">
        <v>0</v>
      </c>
      <c r="U49" s="170">
        <v>0</v>
      </c>
      <c r="V49" s="170">
        <v>0</v>
      </c>
      <c r="W49" s="170">
        <v>243.54000000000013</v>
      </c>
      <c r="X49" s="164">
        <f t="shared" si="10"/>
        <v>811.8</v>
      </c>
      <c r="Y49" s="164"/>
      <c r="Z49" s="164">
        <v>32.747</v>
      </c>
      <c r="AA49" s="164">
        <v>32.747</v>
      </c>
      <c r="AB49" s="164">
        <v>502.76599999999991</v>
      </c>
      <c r="AC49" s="164"/>
      <c r="AD49" s="164"/>
      <c r="AE49" s="164"/>
      <c r="AF49" s="164"/>
      <c r="AG49" s="164">
        <v>243.54000000000013</v>
      </c>
      <c r="AH49" s="164">
        <f t="shared" si="5"/>
        <v>4.0338753387533881</v>
      </c>
      <c r="AI49" s="164">
        <f t="shared" si="6"/>
        <v>69.999999999999986</v>
      </c>
      <c r="AJ49" s="164">
        <v>60</v>
      </c>
      <c r="AK49" s="164">
        <v>80</v>
      </c>
    </row>
    <row r="50" spans="1:37" s="144" customFormat="1" ht="36">
      <c r="A50" s="164">
        <v>14</v>
      </c>
      <c r="B50" s="251" t="s">
        <v>353</v>
      </c>
      <c r="C50" s="164">
        <v>277</v>
      </c>
      <c r="D50" s="164">
        <f t="shared" si="8"/>
        <v>277</v>
      </c>
      <c r="E50" s="170">
        <v>0</v>
      </c>
      <c r="F50" s="170">
        <v>17.561499999999999</v>
      </c>
      <c r="G50" s="170">
        <v>17.561499999999999</v>
      </c>
      <c r="H50" s="170">
        <v>158.77699999999999</v>
      </c>
      <c r="I50" s="164"/>
      <c r="J50" s="164"/>
      <c r="K50" s="164"/>
      <c r="L50" s="164"/>
      <c r="M50" s="170">
        <v>83.1</v>
      </c>
      <c r="N50" s="164">
        <f t="shared" si="9"/>
        <v>277</v>
      </c>
      <c r="O50" s="170">
        <v>0</v>
      </c>
      <c r="P50" s="170">
        <v>17.561499999999999</v>
      </c>
      <c r="Q50" s="170">
        <v>17.561499999999999</v>
      </c>
      <c r="R50" s="170">
        <v>158.77699999999999</v>
      </c>
      <c r="S50" s="170">
        <v>0</v>
      </c>
      <c r="T50" s="170">
        <v>0</v>
      </c>
      <c r="U50" s="170">
        <v>0</v>
      </c>
      <c r="V50" s="170">
        <v>0</v>
      </c>
      <c r="W50" s="170">
        <v>83.1</v>
      </c>
      <c r="X50" s="164">
        <f t="shared" si="10"/>
        <v>277</v>
      </c>
      <c r="Y50" s="164"/>
      <c r="Z50" s="164">
        <v>17.561499999999999</v>
      </c>
      <c r="AA50" s="164">
        <v>17.561499999999999</v>
      </c>
      <c r="AB50" s="164">
        <v>158.77699999999999</v>
      </c>
      <c r="AC50" s="164"/>
      <c r="AD50" s="164"/>
      <c r="AE50" s="164"/>
      <c r="AF50" s="164"/>
      <c r="AG50" s="164">
        <v>83.1</v>
      </c>
      <c r="AH50" s="164">
        <f t="shared" si="5"/>
        <v>6.339891696750902</v>
      </c>
      <c r="AI50" s="164">
        <f t="shared" si="6"/>
        <v>70</v>
      </c>
      <c r="AJ50" s="164">
        <v>60</v>
      </c>
      <c r="AK50" s="164">
        <v>80</v>
      </c>
    </row>
    <row r="51" spans="1:37" s="144" customFormat="1" ht="36">
      <c r="A51" s="164">
        <v>15</v>
      </c>
      <c r="B51" s="251" t="s">
        <v>354</v>
      </c>
      <c r="C51" s="164">
        <v>850.5</v>
      </c>
      <c r="D51" s="164">
        <f t="shared" si="8"/>
        <v>850.5</v>
      </c>
      <c r="E51" s="170">
        <v>0</v>
      </c>
      <c r="F51" s="170">
        <v>48.828000000000003</v>
      </c>
      <c r="G51" s="170">
        <v>48.828000000000003</v>
      </c>
      <c r="H51" s="170">
        <v>497.69399999999996</v>
      </c>
      <c r="I51" s="164"/>
      <c r="J51" s="164"/>
      <c r="K51" s="164"/>
      <c r="L51" s="164"/>
      <c r="M51" s="170">
        <v>255.15000000000009</v>
      </c>
      <c r="N51" s="164">
        <f t="shared" si="9"/>
        <v>850.5</v>
      </c>
      <c r="O51" s="170">
        <v>0</v>
      </c>
      <c r="P51" s="170">
        <v>48.828000000000003</v>
      </c>
      <c r="Q51" s="170">
        <v>48.828000000000003</v>
      </c>
      <c r="R51" s="170">
        <v>497.69399999999996</v>
      </c>
      <c r="S51" s="170">
        <v>0</v>
      </c>
      <c r="T51" s="170">
        <v>0</v>
      </c>
      <c r="U51" s="170">
        <v>0</v>
      </c>
      <c r="V51" s="170">
        <v>0</v>
      </c>
      <c r="W51" s="170">
        <v>255.15000000000009</v>
      </c>
      <c r="X51" s="164">
        <f t="shared" si="10"/>
        <v>850.5</v>
      </c>
      <c r="Y51" s="164"/>
      <c r="Z51" s="164">
        <v>48.828000000000003</v>
      </c>
      <c r="AA51" s="164">
        <v>48.828000000000003</v>
      </c>
      <c r="AB51" s="164">
        <v>497.69399999999996</v>
      </c>
      <c r="AC51" s="164"/>
      <c r="AD51" s="164"/>
      <c r="AE51" s="164"/>
      <c r="AF51" s="164"/>
      <c r="AG51" s="164">
        <v>255.15000000000009</v>
      </c>
      <c r="AH51" s="164">
        <f t="shared" si="5"/>
        <v>5.7410934744268083</v>
      </c>
      <c r="AI51" s="164">
        <f t="shared" si="6"/>
        <v>69.999999999999986</v>
      </c>
      <c r="AJ51" s="164">
        <v>60</v>
      </c>
      <c r="AK51" s="164">
        <v>80</v>
      </c>
    </row>
    <row r="52" spans="1:37" s="161" customFormat="1" ht="12">
      <c r="A52" s="168"/>
      <c r="B52" s="249" t="s">
        <v>263</v>
      </c>
      <c r="C52" s="160">
        <f>SUM(C53:C66)</f>
        <v>18795.899999999998</v>
      </c>
      <c r="D52" s="160">
        <f t="shared" ref="D52:AG52" si="13">SUM(D53:D66)</f>
        <v>18795.899999999998</v>
      </c>
      <c r="E52" s="160">
        <f t="shared" si="13"/>
        <v>1696</v>
      </c>
      <c r="F52" s="160">
        <f t="shared" si="13"/>
        <v>2458.4522000000002</v>
      </c>
      <c r="G52" s="160">
        <f t="shared" si="13"/>
        <v>444.7928</v>
      </c>
      <c r="H52" s="160">
        <f t="shared" si="13"/>
        <v>10450.995000000001</v>
      </c>
      <c r="I52" s="160">
        <f t="shared" si="13"/>
        <v>0</v>
      </c>
      <c r="J52" s="160">
        <f t="shared" si="13"/>
        <v>0</v>
      </c>
      <c r="K52" s="160">
        <f t="shared" si="13"/>
        <v>0</v>
      </c>
      <c r="L52" s="160">
        <f t="shared" si="13"/>
        <v>0</v>
      </c>
      <c r="M52" s="160">
        <f t="shared" si="13"/>
        <v>3745.66</v>
      </c>
      <c r="N52" s="160">
        <f t="shared" si="13"/>
        <v>18795.899999999998</v>
      </c>
      <c r="O52" s="160">
        <f t="shared" si="13"/>
        <v>1696</v>
      </c>
      <c r="P52" s="160">
        <f t="shared" si="13"/>
        <v>2458.4522000000002</v>
      </c>
      <c r="Q52" s="160">
        <f t="shared" si="13"/>
        <v>444.7928</v>
      </c>
      <c r="R52" s="160">
        <f t="shared" si="13"/>
        <v>10450.995000000001</v>
      </c>
      <c r="S52" s="160">
        <f t="shared" si="13"/>
        <v>0</v>
      </c>
      <c r="T52" s="160">
        <f t="shared" si="13"/>
        <v>0</v>
      </c>
      <c r="U52" s="160">
        <f t="shared" si="13"/>
        <v>0</v>
      </c>
      <c r="V52" s="160">
        <f t="shared" si="13"/>
        <v>0</v>
      </c>
      <c r="W52" s="160">
        <f t="shared" si="13"/>
        <v>3745.66</v>
      </c>
      <c r="X52" s="160">
        <f t="shared" si="13"/>
        <v>18795.899999999998</v>
      </c>
      <c r="Y52" s="160">
        <f t="shared" si="13"/>
        <v>1696</v>
      </c>
      <c r="Z52" s="160">
        <f t="shared" si="13"/>
        <v>2458.4522000000002</v>
      </c>
      <c r="AA52" s="160">
        <f t="shared" si="13"/>
        <v>444.7928</v>
      </c>
      <c r="AB52" s="160">
        <f t="shared" si="13"/>
        <v>10450.995000000001</v>
      </c>
      <c r="AC52" s="160">
        <f t="shared" si="13"/>
        <v>0</v>
      </c>
      <c r="AD52" s="160">
        <f t="shared" si="13"/>
        <v>0</v>
      </c>
      <c r="AE52" s="160">
        <f t="shared" si="13"/>
        <v>0</v>
      </c>
      <c r="AF52" s="160">
        <f t="shared" si="13"/>
        <v>0</v>
      </c>
      <c r="AG52" s="160">
        <f t="shared" si="13"/>
        <v>3745.66</v>
      </c>
      <c r="AH52" s="160"/>
      <c r="AI52" s="160"/>
      <c r="AJ52" s="160"/>
      <c r="AK52" s="160"/>
    </row>
    <row r="53" spans="1:37" s="144" customFormat="1" ht="24">
      <c r="A53" s="164">
        <v>1</v>
      </c>
      <c r="B53" s="246" t="s">
        <v>314</v>
      </c>
      <c r="C53" s="164">
        <v>7103.1</v>
      </c>
      <c r="D53" s="164">
        <f t="shared" si="8"/>
        <v>7103.1</v>
      </c>
      <c r="E53" s="170">
        <v>1696</v>
      </c>
      <c r="F53" s="170">
        <v>2000</v>
      </c>
      <c r="G53" s="170">
        <v>0</v>
      </c>
      <c r="H53" s="170">
        <v>2000</v>
      </c>
      <c r="I53" s="164"/>
      <c r="J53" s="164"/>
      <c r="K53" s="164"/>
      <c r="L53" s="164"/>
      <c r="M53" s="170">
        <v>1407.1000000000004</v>
      </c>
      <c r="N53" s="164">
        <f t="shared" si="9"/>
        <v>7103.1</v>
      </c>
      <c r="O53" s="164">
        <v>1696</v>
      </c>
      <c r="P53" s="170">
        <v>2000</v>
      </c>
      <c r="Q53" s="170">
        <v>0</v>
      </c>
      <c r="R53" s="170">
        <v>2000</v>
      </c>
      <c r="S53" s="170">
        <v>0</v>
      </c>
      <c r="T53" s="170">
        <v>0</v>
      </c>
      <c r="U53" s="170">
        <v>0</v>
      </c>
      <c r="V53" s="170">
        <v>0</v>
      </c>
      <c r="W53" s="170">
        <v>1407.1000000000004</v>
      </c>
      <c r="X53" s="164">
        <f t="shared" si="10"/>
        <v>7103.1</v>
      </c>
      <c r="Y53" s="164">
        <v>1696</v>
      </c>
      <c r="Z53" s="164">
        <v>2000</v>
      </c>
      <c r="AA53" s="164"/>
      <c r="AB53" s="164">
        <v>2000</v>
      </c>
      <c r="AC53" s="164"/>
      <c r="AD53" s="164"/>
      <c r="AE53" s="164"/>
      <c r="AF53" s="164"/>
      <c r="AG53" s="164">
        <v>1407.1000000000004</v>
      </c>
      <c r="AH53" s="164">
        <f t="shared" si="5"/>
        <v>52.033619124044428</v>
      </c>
      <c r="AI53" s="164">
        <f t="shared" si="6"/>
        <v>80.190339429263275</v>
      </c>
      <c r="AJ53" s="164">
        <v>85</v>
      </c>
      <c r="AK53" s="164">
        <v>95</v>
      </c>
    </row>
    <row r="54" spans="1:37" s="144" customFormat="1" ht="48">
      <c r="A54" s="164">
        <v>2</v>
      </c>
      <c r="B54" s="250" t="s">
        <v>332</v>
      </c>
      <c r="C54" s="164">
        <v>1520.8</v>
      </c>
      <c r="D54" s="164">
        <f t="shared" si="8"/>
        <v>1520.8</v>
      </c>
      <c r="E54" s="170">
        <v>0</v>
      </c>
      <c r="F54" s="170">
        <v>70.084999999999994</v>
      </c>
      <c r="G54" s="170">
        <v>70.084999999999994</v>
      </c>
      <c r="H54" s="170">
        <v>1076.47</v>
      </c>
      <c r="I54" s="164"/>
      <c r="J54" s="164"/>
      <c r="K54" s="164"/>
      <c r="L54" s="164"/>
      <c r="M54" s="170">
        <v>304.15999999999985</v>
      </c>
      <c r="N54" s="164">
        <f t="shared" si="9"/>
        <v>1520.8</v>
      </c>
      <c r="O54" s="170">
        <v>0</v>
      </c>
      <c r="P54" s="170">
        <v>70.084999999999994</v>
      </c>
      <c r="Q54" s="170">
        <v>70.084999999999994</v>
      </c>
      <c r="R54" s="170">
        <v>1076.47</v>
      </c>
      <c r="S54" s="170">
        <v>0</v>
      </c>
      <c r="T54" s="170">
        <v>0</v>
      </c>
      <c r="U54" s="170">
        <v>0</v>
      </c>
      <c r="V54" s="170">
        <v>0</v>
      </c>
      <c r="W54" s="170">
        <v>304.15999999999985</v>
      </c>
      <c r="X54" s="164">
        <f t="shared" si="10"/>
        <v>1520.8</v>
      </c>
      <c r="Y54" s="164"/>
      <c r="Z54" s="164">
        <v>70.084999999999994</v>
      </c>
      <c r="AA54" s="164">
        <v>70.084999999999994</v>
      </c>
      <c r="AB54" s="164">
        <v>1076.47</v>
      </c>
      <c r="AC54" s="164"/>
      <c r="AD54" s="164"/>
      <c r="AE54" s="164"/>
      <c r="AF54" s="164"/>
      <c r="AG54" s="164">
        <v>304.15999999999985</v>
      </c>
      <c r="AH54" s="164">
        <f t="shared" si="5"/>
        <v>4.6084297738032607</v>
      </c>
      <c r="AI54" s="164">
        <f t="shared" si="6"/>
        <v>80</v>
      </c>
      <c r="AJ54" s="164">
        <v>60</v>
      </c>
      <c r="AK54" s="164">
        <v>80</v>
      </c>
    </row>
    <row r="55" spans="1:37" s="144" customFormat="1" ht="24">
      <c r="A55" s="164">
        <v>3</v>
      </c>
      <c r="B55" s="250" t="s">
        <v>333</v>
      </c>
      <c r="C55" s="164">
        <v>1221</v>
      </c>
      <c r="D55" s="164">
        <f t="shared" si="8"/>
        <v>1221</v>
      </c>
      <c r="E55" s="170">
        <v>0</v>
      </c>
      <c r="F55" s="170">
        <v>77.040000000000006</v>
      </c>
      <c r="G55" s="170">
        <v>51.360000000000007</v>
      </c>
      <c r="H55" s="170">
        <v>848.40000000000009</v>
      </c>
      <c r="I55" s="164"/>
      <c r="J55" s="164"/>
      <c r="K55" s="164"/>
      <c r="L55" s="164"/>
      <c r="M55" s="170">
        <v>244.20000000000005</v>
      </c>
      <c r="N55" s="164">
        <f t="shared" si="9"/>
        <v>1221</v>
      </c>
      <c r="O55" s="170">
        <v>0</v>
      </c>
      <c r="P55" s="170">
        <v>77.040000000000006</v>
      </c>
      <c r="Q55" s="170">
        <v>51.360000000000007</v>
      </c>
      <c r="R55" s="170">
        <v>848.40000000000009</v>
      </c>
      <c r="S55" s="170">
        <v>0</v>
      </c>
      <c r="T55" s="170">
        <v>0</v>
      </c>
      <c r="U55" s="170">
        <v>0</v>
      </c>
      <c r="V55" s="170">
        <v>0</v>
      </c>
      <c r="W55" s="170">
        <v>244.20000000000005</v>
      </c>
      <c r="X55" s="164">
        <f t="shared" si="10"/>
        <v>1221</v>
      </c>
      <c r="Y55" s="164"/>
      <c r="Z55" s="164">
        <v>77.040000000000006</v>
      </c>
      <c r="AA55" s="164">
        <v>51.360000000000007</v>
      </c>
      <c r="AB55" s="164">
        <v>848.40000000000009</v>
      </c>
      <c r="AC55" s="164"/>
      <c r="AD55" s="164"/>
      <c r="AE55" s="164"/>
      <c r="AF55" s="164"/>
      <c r="AG55" s="164">
        <v>244.20000000000005</v>
      </c>
      <c r="AH55" s="164">
        <f t="shared" si="5"/>
        <v>6.3095823095823098</v>
      </c>
      <c r="AI55" s="164">
        <f t="shared" si="6"/>
        <v>80</v>
      </c>
      <c r="AJ55" s="164">
        <v>60</v>
      </c>
      <c r="AK55" s="164">
        <v>80</v>
      </c>
    </row>
    <row r="56" spans="1:37" s="144" customFormat="1" ht="24">
      <c r="A56" s="164">
        <v>4</v>
      </c>
      <c r="B56" s="250" t="s">
        <v>334</v>
      </c>
      <c r="C56" s="164">
        <v>879.8</v>
      </c>
      <c r="D56" s="164">
        <f t="shared" si="8"/>
        <v>879.80000000000007</v>
      </c>
      <c r="E56" s="170">
        <v>0</v>
      </c>
      <c r="F56" s="170">
        <v>39.02825</v>
      </c>
      <c r="G56" s="170">
        <v>39.02825</v>
      </c>
      <c r="H56" s="170">
        <v>625.78350000000012</v>
      </c>
      <c r="I56" s="164"/>
      <c r="J56" s="164"/>
      <c r="K56" s="164"/>
      <c r="L56" s="164"/>
      <c r="M56" s="170">
        <v>175.95999999999992</v>
      </c>
      <c r="N56" s="164">
        <f t="shared" si="9"/>
        <v>879.80000000000007</v>
      </c>
      <c r="O56" s="170">
        <v>0</v>
      </c>
      <c r="P56" s="170">
        <v>39.02825</v>
      </c>
      <c r="Q56" s="170">
        <v>39.02825</v>
      </c>
      <c r="R56" s="170">
        <v>625.78350000000012</v>
      </c>
      <c r="S56" s="170">
        <v>0</v>
      </c>
      <c r="T56" s="170">
        <v>0</v>
      </c>
      <c r="U56" s="170">
        <v>0</v>
      </c>
      <c r="V56" s="170">
        <v>0</v>
      </c>
      <c r="W56" s="170">
        <v>175.95999999999992</v>
      </c>
      <c r="X56" s="164">
        <f t="shared" si="10"/>
        <v>879.80000000000007</v>
      </c>
      <c r="Y56" s="164"/>
      <c r="Z56" s="164">
        <v>39.02825</v>
      </c>
      <c r="AA56" s="164">
        <v>39.02825</v>
      </c>
      <c r="AB56" s="164">
        <v>625.78350000000012</v>
      </c>
      <c r="AC56" s="164"/>
      <c r="AD56" s="164"/>
      <c r="AE56" s="164"/>
      <c r="AF56" s="164"/>
      <c r="AG56" s="164">
        <v>175.95999999999992</v>
      </c>
      <c r="AH56" s="164">
        <f t="shared" si="5"/>
        <v>4.4360365992270969</v>
      </c>
      <c r="AI56" s="164">
        <f t="shared" si="6"/>
        <v>80.000000000000014</v>
      </c>
      <c r="AJ56" s="164">
        <v>60</v>
      </c>
      <c r="AK56" s="164">
        <v>80</v>
      </c>
    </row>
    <row r="57" spans="1:37" s="144" customFormat="1" ht="24">
      <c r="A57" s="164">
        <v>5</v>
      </c>
      <c r="B57" s="250" t="s">
        <v>325</v>
      </c>
      <c r="C57" s="164">
        <v>400</v>
      </c>
      <c r="D57" s="164">
        <f t="shared" si="8"/>
        <v>400</v>
      </c>
      <c r="E57" s="170">
        <v>0</v>
      </c>
      <c r="F57" s="170">
        <v>15.231450000000001</v>
      </c>
      <c r="G57" s="170">
        <v>35.540050000000001</v>
      </c>
      <c r="H57" s="170">
        <v>269.2285</v>
      </c>
      <c r="I57" s="164"/>
      <c r="J57" s="164"/>
      <c r="K57" s="164"/>
      <c r="L57" s="164"/>
      <c r="M57" s="170">
        <v>80</v>
      </c>
      <c r="N57" s="164">
        <f t="shared" si="9"/>
        <v>400</v>
      </c>
      <c r="O57" s="170">
        <v>0</v>
      </c>
      <c r="P57" s="170">
        <v>15.231450000000001</v>
      </c>
      <c r="Q57" s="170">
        <v>35.540050000000001</v>
      </c>
      <c r="R57" s="170">
        <v>269.2285</v>
      </c>
      <c r="S57" s="170">
        <v>0</v>
      </c>
      <c r="T57" s="170">
        <v>0</v>
      </c>
      <c r="U57" s="170">
        <v>0</v>
      </c>
      <c r="V57" s="170">
        <v>0</v>
      </c>
      <c r="W57" s="170">
        <v>80</v>
      </c>
      <c r="X57" s="164">
        <f t="shared" si="10"/>
        <v>400</v>
      </c>
      <c r="Y57" s="164"/>
      <c r="Z57" s="164">
        <v>15.231450000000001</v>
      </c>
      <c r="AA57" s="164">
        <v>35.540050000000001</v>
      </c>
      <c r="AB57" s="164">
        <v>269.2285</v>
      </c>
      <c r="AC57" s="164"/>
      <c r="AD57" s="164"/>
      <c r="AE57" s="164"/>
      <c r="AF57" s="164"/>
      <c r="AG57" s="164">
        <v>80</v>
      </c>
      <c r="AH57" s="164">
        <f t="shared" si="5"/>
        <v>3.8078625000000006</v>
      </c>
      <c r="AI57" s="164">
        <f t="shared" si="6"/>
        <v>80</v>
      </c>
      <c r="AJ57" s="164">
        <v>60</v>
      </c>
      <c r="AK57" s="164">
        <v>80</v>
      </c>
    </row>
    <row r="58" spans="1:37" s="144" customFormat="1" ht="24">
      <c r="A58" s="164">
        <v>6</v>
      </c>
      <c r="B58" s="250" t="s">
        <v>327</v>
      </c>
      <c r="C58" s="164">
        <v>906.9</v>
      </c>
      <c r="D58" s="164">
        <f t="shared" si="8"/>
        <v>906.89999999999986</v>
      </c>
      <c r="E58" s="170">
        <v>0</v>
      </c>
      <c r="F58" s="170">
        <v>26.835599999999999</v>
      </c>
      <c r="G58" s="170">
        <v>40.253399999999999</v>
      </c>
      <c r="H58" s="170">
        <v>658.43100000000004</v>
      </c>
      <c r="I58" s="164"/>
      <c r="J58" s="164"/>
      <c r="K58" s="164"/>
      <c r="L58" s="164"/>
      <c r="M58" s="170">
        <v>181.37999999999988</v>
      </c>
      <c r="N58" s="164">
        <f t="shared" si="9"/>
        <v>906.89999999999986</v>
      </c>
      <c r="O58" s="170">
        <v>0</v>
      </c>
      <c r="P58" s="170">
        <v>26.835599999999999</v>
      </c>
      <c r="Q58" s="170">
        <v>40.253399999999999</v>
      </c>
      <c r="R58" s="170">
        <v>658.43100000000004</v>
      </c>
      <c r="S58" s="170">
        <v>0</v>
      </c>
      <c r="T58" s="170">
        <v>0</v>
      </c>
      <c r="U58" s="170">
        <v>0</v>
      </c>
      <c r="V58" s="170">
        <v>0</v>
      </c>
      <c r="W58" s="170">
        <v>181.37999999999988</v>
      </c>
      <c r="X58" s="164">
        <f t="shared" si="10"/>
        <v>906.89999999999986</v>
      </c>
      <c r="Y58" s="164"/>
      <c r="Z58" s="164">
        <v>26.835599999999999</v>
      </c>
      <c r="AA58" s="164">
        <v>40.253399999999999</v>
      </c>
      <c r="AB58" s="164">
        <v>658.43100000000004</v>
      </c>
      <c r="AC58" s="164"/>
      <c r="AD58" s="164"/>
      <c r="AE58" s="164"/>
      <c r="AF58" s="164"/>
      <c r="AG58" s="164">
        <v>181.37999999999988</v>
      </c>
      <c r="AH58" s="164">
        <f t="shared" si="5"/>
        <v>2.9590473040026466</v>
      </c>
      <c r="AI58" s="164">
        <f t="shared" si="6"/>
        <v>80</v>
      </c>
      <c r="AJ58" s="164">
        <v>60</v>
      </c>
      <c r="AK58" s="164">
        <v>80</v>
      </c>
    </row>
    <row r="59" spans="1:37" s="144" customFormat="1" ht="36">
      <c r="A59" s="164">
        <v>7</v>
      </c>
      <c r="B59" s="250" t="s">
        <v>335</v>
      </c>
      <c r="C59" s="164">
        <v>447.8</v>
      </c>
      <c r="D59" s="164">
        <f t="shared" si="8"/>
        <v>447.8</v>
      </c>
      <c r="E59" s="170">
        <v>0</v>
      </c>
      <c r="F59" s="170">
        <v>0</v>
      </c>
      <c r="G59" s="170">
        <v>0</v>
      </c>
      <c r="H59" s="170">
        <v>358.24</v>
      </c>
      <c r="I59" s="164"/>
      <c r="J59" s="164"/>
      <c r="K59" s="164"/>
      <c r="L59" s="164"/>
      <c r="M59" s="170">
        <v>89.56</v>
      </c>
      <c r="N59" s="164">
        <f t="shared" si="9"/>
        <v>447.8</v>
      </c>
      <c r="O59" s="170">
        <v>0</v>
      </c>
      <c r="P59" s="170">
        <v>0</v>
      </c>
      <c r="Q59" s="170">
        <v>0</v>
      </c>
      <c r="R59" s="170">
        <v>358.24</v>
      </c>
      <c r="S59" s="170">
        <v>0</v>
      </c>
      <c r="T59" s="170">
        <v>0</v>
      </c>
      <c r="U59" s="170">
        <v>0</v>
      </c>
      <c r="V59" s="170">
        <v>0</v>
      </c>
      <c r="W59" s="170">
        <v>89.56</v>
      </c>
      <c r="X59" s="164">
        <f t="shared" si="10"/>
        <v>447.8</v>
      </c>
      <c r="Y59" s="164"/>
      <c r="Z59" s="164"/>
      <c r="AA59" s="164"/>
      <c r="AB59" s="164">
        <v>358.24</v>
      </c>
      <c r="AC59" s="164"/>
      <c r="AD59" s="164"/>
      <c r="AE59" s="164"/>
      <c r="AF59" s="164"/>
      <c r="AG59" s="164">
        <v>89.56</v>
      </c>
      <c r="AH59" s="164">
        <f t="shared" si="5"/>
        <v>0</v>
      </c>
      <c r="AI59" s="164">
        <f t="shared" si="6"/>
        <v>80</v>
      </c>
      <c r="AJ59" s="164">
        <v>60</v>
      </c>
      <c r="AK59" s="164">
        <v>80</v>
      </c>
    </row>
    <row r="60" spans="1:37" s="144" customFormat="1" ht="24">
      <c r="A60" s="164">
        <v>8</v>
      </c>
      <c r="B60" s="250" t="s">
        <v>336</v>
      </c>
      <c r="C60" s="164">
        <v>210.2</v>
      </c>
      <c r="D60" s="164">
        <f t="shared" si="8"/>
        <v>210.2</v>
      </c>
      <c r="E60" s="170">
        <v>0</v>
      </c>
      <c r="F60" s="170">
        <v>0</v>
      </c>
      <c r="G60" s="170">
        <v>0</v>
      </c>
      <c r="H60" s="170">
        <v>168.16</v>
      </c>
      <c r="I60" s="164"/>
      <c r="J60" s="164"/>
      <c r="K60" s="164"/>
      <c r="L60" s="164"/>
      <c r="M60" s="170">
        <v>42.039999999999992</v>
      </c>
      <c r="N60" s="164">
        <f t="shared" si="9"/>
        <v>210.2</v>
      </c>
      <c r="O60" s="170">
        <v>0</v>
      </c>
      <c r="P60" s="170">
        <v>0</v>
      </c>
      <c r="Q60" s="170">
        <v>0</v>
      </c>
      <c r="R60" s="170">
        <v>168.16</v>
      </c>
      <c r="S60" s="170">
        <v>0</v>
      </c>
      <c r="T60" s="170">
        <v>0</v>
      </c>
      <c r="U60" s="170">
        <v>0</v>
      </c>
      <c r="V60" s="170">
        <v>0</v>
      </c>
      <c r="W60" s="170">
        <v>42.039999999999992</v>
      </c>
      <c r="X60" s="164">
        <f t="shared" si="10"/>
        <v>210.2</v>
      </c>
      <c r="Y60" s="164"/>
      <c r="Z60" s="164"/>
      <c r="AA60" s="164"/>
      <c r="AB60" s="164">
        <v>168.16</v>
      </c>
      <c r="AC60" s="164"/>
      <c r="AD60" s="164"/>
      <c r="AE60" s="164"/>
      <c r="AF60" s="164"/>
      <c r="AG60" s="164">
        <v>42.039999999999992</v>
      </c>
      <c r="AH60" s="164">
        <f t="shared" si="5"/>
        <v>0</v>
      </c>
      <c r="AI60" s="164">
        <f t="shared" si="6"/>
        <v>80</v>
      </c>
      <c r="AJ60" s="164">
        <v>60</v>
      </c>
      <c r="AK60" s="164">
        <v>80</v>
      </c>
    </row>
    <row r="61" spans="1:37" s="144" customFormat="1" ht="36">
      <c r="A61" s="164">
        <v>9</v>
      </c>
      <c r="B61" s="250" t="s">
        <v>337</v>
      </c>
      <c r="C61" s="164">
        <v>480</v>
      </c>
      <c r="D61" s="164">
        <f t="shared" si="8"/>
        <v>480</v>
      </c>
      <c r="E61" s="170">
        <v>0</v>
      </c>
      <c r="F61" s="170">
        <v>0</v>
      </c>
      <c r="G61" s="170">
        <v>0</v>
      </c>
      <c r="H61" s="170">
        <v>384</v>
      </c>
      <c r="I61" s="164"/>
      <c r="J61" s="164"/>
      <c r="K61" s="164"/>
      <c r="L61" s="164"/>
      <c r="M61" s="170">
        <v>96</v>
      </c>
      <c r="N61" s="164">
        <f t="shared" si="9"/>
        <v>480</v>
      </c>
      <c r="O61" s="170">
        <v>0</v>
      </c>
      <c r="P61" s="170">
        <v>0</v>
      </c>
      <c r="Q61" s="170">
        <v>0</v>
      </c>
      <c r="R61" s="170">
        <v>384</v>
      </c>
      <c r="S61" s="170">
        <v>0</v>
      </c>
      <c r="T61" s="170">
        <v>0</v>
      </c>
      <c r="U61" s="170">
        <v>0</v>
      </c>
      <c r="V61" s="170">
        <v>0</v>
      </c>
      <c r="W61" s="170">
        <v>96</v>
      </c>
      <c r="X61" s="164">
        <f t="shared" si="10"/>
        <v>480</v>
      </c>
      <c r="Y61" s="164"/>
      <c r="Z61" s="164"/>
      <c r="AA61" s="164"/>
      <c r="AB61" s="164">
        <v>384</v>
      </c>
      <c r="AC61" s="164"/>
      <c r="AD61" s="164"/>
      <c r="AE61" s="164"/>
      <c r="AF61" s="164"/>
      <c r="AG61" s="164">
        <v>96</v>
      </c>
      <c r="AH61" s="164">
        <f t="shared" si="5"/>
        <v>0</v>
      </c>
      <c r="AI61" s="164">
        <f t="shared" si="6"/>
        <v>80</v>
      </c>
      <c r="AJ61" s="164">
        <v>60</v>
      </c>
      <c r="AK61" s="164">
        <v>80</v>
      </c>
    </row>
    <row r="62" spans="1:37" s="144" customFormat="1" ht="36">
      <c r="A62" s="164">
        <v>10</v>
      </c>
      <c r="B62" s="250" t="s">
        <v>338</v>
      </c>
      <c r="C62" s="164">
        <v>681.6</v>
      </c>
      <c r="D62" s="164">
        <f t="shared" si="8"/>
        <v>681.6</v>
      </c>
      <c r="E62" s="170">
        <v>0</v>
      </c>
      <c r="F62" s="170">
        <v>0</v>
      </c>
      <c r="G62" s="170">
        <v>0</v>
      </c>
      <c r="H62" s="170">
        <v>545.28000000000009</v>
      </c>
      <c r="I62" s="164"/>
      <c r="J62" s="164"/>
      <c r="K62" s="164"/>
      <c r="L62" s="164"/>
      <c r="M62" s="170">
        <v>136.31999999999994</v>
      </c>
      <c r="N62" s="164">
        <f t="shared" si="9"/>
        <v>681.6</v>
      </c>
      <c r="O62" s="170">
        <v>0</v>
      </c>
      <c r="P62" s="170">
        <v>0</v>
      </c>
      <c r="Q62" s="170">
        <v>0</v>
      </c>
      <c r="R62" s="170">
        <v>545.28000000000009</v>
      </c>
      <c r="S62" s="170">
        <v>0</v>
      </c>
      <c r="T62" s="170">
        <v>0</v>
      </c>
      <c r="U62" s="170">
        <v>0</v>
      </c>
      <c r="V62" s="170">
        <v>0</v>
      </c>
      <c r="W62" s="170">
        <v>136.31999999999994</v>
      </c>
      <c r="X62" s="164">
        <f t="shared" si="10"/>
        <v>681.6</v>
      </c>
      <c r="Y62" s="164"/>
      <c r="Z62" s="164"/>
      <c r="AA62" s="164"/>
      <c r="AB62" s="164">
        <v>545.28000000000009</v>
      </c>
      <c r="AC62" s="164"/>
      <c r="AD62" s="164"/>
      <c r="AE62" s="164"/>
      <c r="AF62" s="164"/>
      <c r="AG62" s="164">
        <v>136.31999999999994</v>
      </c>
      <c r="AH62" s="164">
        <f t="shared" si="5"/>
        <v>0</v>
      </c>
      <c r="AI62" s="164">
        <f t="shared" si="6"/>
        <v>80.000000000000014</v>
      </c>
      <c r="AJ62" s="164">
        <v>60</v>
      </c>
      <c r="AK62" s="164">
        <v>80</v>
      </c>
    </row>
    <row r="63" spans="1:37" s="144" customFormat="1" ht="24">
      <c r="A63" s="164">
        <v>11</v>
      </c>
      <c r="B63" s="250" t="s">
        <v>339</v>
      </c>
      <c r="C63" s="164">
        <v>787.7</v>
      </c>
      <c r="D63" s="164">
        <f t="shared" si="8"/>
        <v>787.7</v>
      </c>
      <c r="E63" s="170">
        <v>0</v>
      </c>
      <c r="F63" s="170">
        <v>35.117400000000004</v>
      </c>
      <c r="G63" s="170">
        <v>13.4116</v>
      </c>
      <c r="H63" s="170">
        <v>581.63100000000009</v>
      </c>
      <c r="I63" s="164"/>
      <c r="J63" s="164"/>
      <c r="K63" s="164"/>
      <c r="L63" s="164"/>
      <c r="M63" s="170">
        <v>157.53999999999996</v>
      </c>
      <c r="N63" s="164">
        <f t="shared" si="9"/>
        <v>787.7</v>
      </c>
      <c r="O63" s="170">
        <v>0</v>
      </c>
      <c r="P63" s="170">
        <v>35.117400000000004</v>
      </c>
      <c r="Q63" s="170">
        <v>13.4116</v>
      </c>
      <c r="R63" s="170">
        <v>581.63100000000009</v>
      </c>
      <c r="S63" s="170">
        <v>0</v>
      </c>
      <c r="T63" s="170">
        <v>0</v>
      </c>
      <c r="U63" s="170">
        <v>0</v>
      </c>
      <c r="V63" s="170">
        <v>0</v>
      </c>
      <c r="W63" s="170">
        <v>157.53999999999996</v>
      </c>
      <c r="X63" s="164">
        <f t="shared" si="10"/>
        <v>787.7</v>
      </c>
      <c r="Y63" s="164"/>
      <c r="Z63" s="164">
        <v>35.117400000000004</v>
      </c>
      <c r="AA63" s="164">
        <v>13.4116</v>
      </c>
      <c r="AB63" s="164">
        <v>581.63100000000009</v>
      </c>
      <c r="AC63" s="164"/>
      <c r="AD63" s="164"/>
      <c r="AE63" s="164"/>
      <c r="AF63" s="164"/>
      <c r="AG63" s="164">
        <v>157.53999999999996</v>
      </c>
      <c r="AH63" s="164">
        <f t="shared" si="5"/>
        <v>4.4582201345689985</v>
      </c>
      <c r="AI63" s="164">
        <f t="shared" si="6"/>
        <v>80</v>
      </c>
      <c r="AJ63" s="164">
        <v>60</v>
      </c>
      <c r="AK63" s="164">
        <v>80</v>
      </c>
    </row>
    <row r="64" spans="1:37" s="144" customFormat="1" ht="60">
      <c r="A64" s="164">
        <v>12</v>
      </c>
      <c r="B64" s="250" t="s">
        <v>340</v>
      </c>
      <c r="C64" s="164">
        <v>2795.4</v>
      </c>
      <c r="D64" s="164">
        <f t="shared" si="8"/>
        <v>2795.3999999999996</v>
      </c>
      <c r="E64" s="170">
        <v>0</v>
      </c>
      <c r="F64" s="170">
        <v>195.11449999999999</v>
      </c>
      <c r="G64" s="170">
        <v>195.11449999999999</v>
      </c>
      <c r="H64" s="170">
        <v>1846.0910000000003</v>
      </c>
      <c r="I64" s="164"/>
      <c r="J64" s="164"/>
      <c r="K64" s="164"/>
      <c r="L64" s="164"/>
      <c r="M64" s="170">
        <v>559.07999999999947</v>
      </c>
      <c r="N64" s="164">
        <f t="shared" si="9"/>
        <v>2795.3999999999996</v>
      </c>
      <c r="O64" s="170">
        <v>0</v>
      </c>
      <c r="P64" s="170">
        <v>195.11449999999999</v>
      </c>
      <c r="Q64" s="170">
        <v>195.11449999999999</v>
      </c>
      <c r="R64" s="170">
        <v>1846.0910000000003</v>
      </c>
      <c r="S64" s="170">
        <v>0</v>
      </c>
      <c r="T64" s="170">
        <v>0</v>
      </c>
      <c r="U64" s="170">
        <v>0</v>
      </c>
      <c r="V64" s="170">
        <v>0</v>
      </c>
      <c r="W64" s="170">
        <v>559.07999999999947</v>
      </c>
      <c r="X64" s="164">
        <f t="shared" si="10"/>
        <v>2795.3999999999996</v>
      </c>
      <c r="Y64" s="164"/>
      <c r="Z64" s="164">
        <v>195.11449999999999</v>
      </c>
      <c r="AA64" s="164">
        <v>195.11449999999999</v>
      </c>
      <c r="AB64" s="164">
        <v>1846.0910000000003</v>
      </c>
      <c r="AC64" s="164"/>
      <c r="AD64" s="164"/>
      <c r="AE64" s="164"/>
      <c r="AF64" s="164"/>
      <c r="AG64" s="164">
        <v>559.07999999999947</v>
      </c>
      <c r="AH64" s="164">
        <f t="shared" si="5"/>
        <v>6.9798418830936528</v>
      </c>
      <c r="AI64" s="164">
        <f t="shared" si="6"/>
        <v>80</v>
      </c>
      <c r="AJ64" s="164">
        <v>60</v>
      </c>
      <c r="AK64" s="164">
        <v>80</v>
      </c>
    </row>
    <row r="65" spans="1:37" s="144" customFormat="1" ht="24">
      <c r="A65" s="164">
        <v>13</v>
      </c>
      <c r="B65" s="250" t="s">
        <v>326</v>
      </c>
      <c r="C65" s="164">
        <v>895.1</v>
      </c>
      <c r="D65" s="164">
        <f t="shared" si="8"/>
        <v>895.1</v>
      </c>
      <c r="E65" s="170">
        <v>0</v>
      </c>
      <c r="F65" s="170">
        <v>0</v>
      </c>
      <c r="G65" s="170">
        <v>0</v>
      </c>
      <c r="H65" s="170">
        <v>716.08</v>
      </c>
      <c r="I65" s="164"/>
      <c r="J65" s="164"/>
      <c r="K65" s="164"/>
      <c r="L65" s="164"/>
      <c r="M65" s="170">
        <v>179.01999999999998</v>
      </c>
      <c r="N65" s="164">
        <f t="shared" si="9"/>
        <v>895.1</v>
      </c>
      <c r="O65" s="170">
        <v>0</v>
      </c>
      <c r="P65" s="170">
        <v>0</v>
      </c>
      <c r="Q65" s="170">
        <v>0</v>
      </c>
      <c r="R65" s="170">
        <v>716.08</v>
      </c>
      <c r="S65" s="170">
        <v>0</v>
      </c>
      <c r="T65" s="170">
        <v>0</v>
      </c>
      <c r="U65" s="170">
        <v>0</v>
      </c>
      <c r="V65" s="170">
        <v>0</v>
      </c>
      <c r="W65" s="170">
        <v>179.01999999999998</v>
      </c>
      <c r="X65" s="164">
        <f t="shared" si="10"/>
        <v>895.1</v>
      </c>
      <c r="Y65" s="164"/>
      <c r="Z65" s="164"/>
      <c r="AA65" s="164"/>
      <c r="AB65" s="164">
        <v>716.08</v>
      </c>
      <c r="AC65" s="164"/>
      <c r="AD65" s="164"/>
      <c r="AE65" s="164"/>
      <c r="AF65" s="164"/>
      <c r="AG65" s="164">
        <v>179.01999999999998</v>
      </c>
      <c r="AH65" s="164">
        <f t="shared" si="5"/>
        <v>0</v>
      </c>
      <c r="AI65" s="164">
        <f t="shared" si="6"/>
        <v>80</v>
      </c>
      <c r="AJ65" s="164">
        <v>60</v>
      </c>
      <c r="AK65" s="164">
        <v>80</v>
      </c>
    </row>
    <row r="66" spans="1:37" s="144" customFormat="1" ht="36">
      <c r="A66" s="164">
        <v>14</v>
      </c>
      <c r="B66" s="250" t="s">
        <v>328</v>
      </c>
      <c r="C66" s="164">
        <v>466.5</v>
      </c>
      <c r="D66" s="164">
        <f t="shared" si="8"/>
        <v>466.5</v>
      </c>
      <c r="E66" s="170">
        <v>0</v>
      </c>
      <c r="F66" s="170">
        <v>0</v>
      </c>
      <c r="G66" s="170">
        <v>0</v>
      </c>
      <c r="H66" s="170">
        <v>373.20000000000005</v>
      </c>
      <c r="I66" s="164"/>
      <c r="J66" s="164"/>
      <c r="K66" s="164"/>
      <c r="L66" s="164"/>
      <c r="M66" s="170">
        <v>93.299999999999955</v>
      </c>
      <c r="N66" s="164">
        <f t="shared" si="9"/>
        <v>466.5</v>
      </c>
      <c r="O66" s="170">
        <v>0</v>
      </c>
      <c r="P66" s="170">
        <v>0</v>
      </c>
      <c r="Q66" s="170">
        <v>0</v>
      </c>
      <c r="R66" s="170">
        <v>373.20000000000005</v>
      </c>
      <c r="S66" s="170">
        <v>0</v>
      </c>
      <c r="T66" s="170">
        <v>0</v>
      </c>
      <c r="U66" s="170">
        <v>0</v>
      </c>
      <c r="V66" s="170">
        <v>0</v>
      </c>
      <c r="W66" s="170">
        <v>93.299999999999955</v>
      </c>
      <c r="X66" s="164">
        <f t="shared" si="10"/>
        <v>466.5</v>
      </c>
      <c r="Y66" s="164"/>
      <c r="Z66" s="164"/>
      <c r="AA66" s="164"/>
      <c r="AB66" s="164">
        <v>373.20000000000005</v>
      </c>
      <c r="AC66" s="164"/>
      <c r="AD66" s="164"/>
      <c r="AE66" s="164"/>
      <c r="AF66" s="164"/>
      <c r="AG66" s="164">
        <v>93.299999999999955</v>
      </c>
      <c r="AH66" s="164">
        <f t="shared" si="5"/>
        <v>0</v>
      </c>
      <c r="AI66" s="164">
        <f t="shared" si="6"/>
        <v>80</v>
      </c>
      <c r="AJ66" s="164">
        <v>60</v>
      </c>
      <c r="AK66" s="164">
        <v>80</v>
      </c>
    </row>
    <row r="67" spans="1:37" s="161" customFormat="1" ht="12">
      <c r="A67" s="168"/>
      <c r="B67" s="249" t="s">
        <v>264</v>
      </c>
      <c r="C67" s="160">
        <f t="shared" ref="C67:AG67" si="14">SUM(C68:C75)</f>
        <v>14111.900000000001</v>
      </c>
      <c r="D67" s="160">
        <f t="shared" si="14"/>
        <v>14111.900000000001</v>
      </c>
      <c r="E67" s="160">
        <f t="shared" si="14"/>
        <v>646</v>
      </c>
      <c r="F67" s="160">
        <f t="shared" si="14"/>
        <v>597.91139520000002</v>
      </c>
      <c r="G67" s="160">
        <f t="shared" si="14"/>
        <v>1360.5066687999999</v>
      </c>
      <c r="H67" s="160">
        <f t="shared" si="14"/>
        <v>451.03</v>
      </c>
      <c r="I67" s="160">
        <f t="shared" si="14"/>
        <v>0</v>
      </c>
      <c r="J67" s="160">
        <f t="shared" si="14"/>
        <v>0</v>
      </c>
      <c r="K67" s="160">
        <f t="shared" si="14"/>
        <v>0</v>
      </c>
      <c r="L67" s="160">
        <f t="shared" si="14"/>
        <v>0</v>
      </c>
      <c r="M67" s="160">
        <f t="shared" si="14"/>
        <v>11056.451935999999</v>
      </c>
      <c r="N67" s="160">
        <f t="shared" si="14"/>
        <v>14111.900000000001</v>
      </c>
      <c r="O67" s="160">
        <f t="shared" si="14"/>
        <v>646</v>
      </c>
      <c r="P67" s="160">
        <f t="shared" si="14"/>
        <v>597.91139520000002</v>
      </c>
      <c r="Q67" s="160">
        <f t="shared" si="14"/>
        <v>1360.5066687999999</v>
      </c>
      <c r="R67" s="160">
        <f t="shared" si="14"/>
        <v>451.03</v>
      </c>
      <c r="S67" s="160">
        <f t="shared" si="14"/>
        <v>0</v>
      </c>
      <c r="T67" s="160">
        <f t="shared" si="14"/>
        <v>0</v>
      </c>
      <c r="U67" s="160">
        <f t="shared" si="14"/>
        <v>0</v>
      </c>
      <c r="V67" s="160">
        <f t="shared" si="14"/>
        <v>0</v>
      </c>
      <c r="W67" s="160">
        <f t="shared" si="14"/>
        <v>11056.451935999999</v>
      </c>
      <c r="X67" s="160">
        <f t="shared" si="14"/>
        <v>14111.900000000001</v>
      </c>
      <c r="Y67" s="160">
        <f t="shared" si="14"/>
        <v>646</v>
      </c>
      <c r="Z67" s="160">
        <f t="shared" si="14"/>
        <v>597.91139520000002</v>
      </c>
      <c r="AA67" s="160">
        <f t="shared" si="14"/>
        <v>1360.5066687999999</v>
      </c>
      <c r="AB67" s="160">
        <f t="shared" si="14"/>
        <v>451.03</v>
      </c>
      <c r="AC67" s="160">
        <f t="shared" si="14"/>
        <v>0</v>
      </c>
      <c r="AD67" s="160">
        <f t="shared" si="14"/>
        <v>0</v>
      </c>
      <c r="AE67" s="160">
        <f t="shared" si="14"/>
        <v>0</v>
      </c>
      <c r="AF67" s="160">
        <f t="shared" si="14"/>
        <v>0</v>
      </c>
      <c r="AG67" s="160">
        <f t="shared" si="14"/>
        <v>11056.451935999999</v>
      </c>
      <c r="AH67" s="160"/>
      <c r="AI67" s="160"/>
      <c r="AJ67" s="160"/>
      <c r="AK67" s="160"/>
    </row>
    <row r="68" spans="1:37" s="144" customFormat="1" ht="24">
      <c r="A68" s="164">
        <v>1</v>
      </c>
      <c r="B68" s="246" t="s">
        <v>315</v>
      </c>
      <c r="C68" s="164">
        <v>2652.9</v>
      </c>
      <c r="D68" s="164">
        <f t="shared" si="8"/>
        <v>2652.9</v>
      </c>
      <c r="E68" s="170">
        <v>406</v>
      </c>
      <c r="F68" s="170">
        <v>0</v>
      </c>
      <c r="G68" s="170">
        <v>1000</v>
      </c>
      <c r="H68" s="170">
        <v>451.03</v>
      </c>
      <c r="I68" s="164"/>
      <c r="J68" s="164"/>
      <c r="K68" s="164"/>
      <c r="L68" s="164"/>
      <c r="M68" s="170">
        <v>795.87000000000012</v>
      </c>
      <c r="N68" s="164">
        <f t="shared" si="9"/>
        <v>2652.9</v>
      </c>
      <c r="O68" s="164">
        <v>406</v>
      </c>
      <c r="P68" s="170">
        <v>0</v>
      </c>
      <c r="Q68" s="170">
        <v>1000</v>
      </c>
      <c r="R68" s="170">
        <v>451.03</v>
      </c>
      <c r="S68" s="170">
        <v>0</v>
      </c>
      <c r="T68" s="170">
        <v>0</v>
      </c>
      <c r="U68" s="170">
        <v>0</v>
      </c>
      <c r="V68" s="170">
        <v>0</v>
      </c>
      <c r="W68" s="170">
        <v>795.87000000000012</v>
      </c>
      <c r="X68" s="164">
        <f t="shared" si="10"/>
        <v>2652.9</v>
      </c>
      <c r="Y68" s="164">
        <v>406</v>
      </c>
      <c r="Z68" s="164"/>
      <c r="AA68" s="164">
        <v>1000</v>
      </c>
      <c r="AB68" s="164">
        <v>451.03</v>
      </c>
      <c r="AC68" s="164"/>
      <c r="AD68" s="164"/>
      <c r="AE68" s="164"/>
      <c r="AF68" s="164"/>
      <c r="AG68" s="164">
        <v>795.87000000000012</v>
      </c>
      <c r="AH68" s="164">
        <f t="shared" si="5"/>
        <v>15.3040069358061</v>
      </c>
      <c r="AI68" s="164">
        <f t="shared" si="6"/>
        <v>70</v>
      </c>
      <c r="AJ68" s="164">
        <v>60</v>
      </c>
      <c r="AK68" s="164">
        <v>80</v>
      </c>
    </row>
    <row r="69" spans="1:37" s="144" customFormat="1" ht="24">
      <c r="A69" s="164">
        <v>2</v>
      </c>
      <c r="B69" s="150" t="s">
        <v>329</v>
      </c>
      <c r="C69" s="164">
        <v>272.60000000000002</v>
      </c>
      <c r="D69" s="164">
        <f t="shared" si="8"/>
        <v>272.60000000000002</v>
      </c>
      <c r="E69" s="170">
        <v>240</v>
      </c>
      <c r="F69" s="170">
        <v>0</v>
      </c>
      <c r="G69" s="170">
        <v>0</v>
      </c>
      <c r="H69" s="170">
        <v>0</v>
      </c>
      <c r="I69" s="164"/>
      <c r="J69" s="164"/>
      <c r="K69" s="164"/>
      <c r="L69" s="164"/>
      <c r="M69" s="170">
        <v>32.600000000000023</v>
      </c>
      <c r="N69" s="164">
        <f t="shared" si="9"/>
        <v>272.60000000000002</v>
      </c>
      <c r="O69" s="170">
        <v>240</v>
      </c>
      <c r="P69" s="170">
        <v>0</v>
      </c>
      <c r="Q69" s="170">
        <v>0</v>
      </c>
      <c r="R69" s="170">
        <v>0</v>
      </c>
      <c r="S69" s="170">
        <v>0</v>
      </c>
      <c r="T69" s="170">
        <v>0</v>
      </c>
      <c r="U69" s="170">
        <v>0</v>
      </c>
      <c r="V69" s="170">
        <v>0</v>
      </c>
      <c r="W69" s="170">
        <v>32.600000000000023</v>
      </c>
      <c r="X69" s="164">
        <f t="shared" si="10"/>
        <v>272.60000000000002</v>
      </c>
      <c r="Y69" s="164">
        <v>240</v>
      </c>
      <c r="Z69" s="164"/>
      <c r="AA69" s="164"/>
      <c r="AB69" s="164"/>
      <c r="AC69" s="164"/>
      <c r="AD69" s="164"/>
      <c r="AE69" s="164"/>
      <c r="AF69" s="164"/>
      <c r="AG69" s="164">
        <v>32.600000000000023</v>
      </c>
      <c r="AH69" s="164">
        <f t="shared" si="5"/>
        <v>88.041085840058685</v>
      </c>
      <c r="AI69" s="164">
        <f t="shared" si="6"/>
        <v>88.041085840058685</v>
      </c>
      <c r="AJ69" s="164">
        <v>80</v>
      </c>
      <c r="AK69" s="164">
        <v>95</v>
      </c>
    </row>
    <row r="70" spans="1:37" s="144" customFormat="1" ht="24">
      <c r="A70" s="164">
        <v>3</v>
      </c>
      <c r="B70" s="150" t="s">
        <v>316</v>
      </c>
      <c r="C70" s="164">
        <v>3037.9</v>
      </c>
      <c r="D70" s="164">
        <f t="shared" si="8"/>
        <v>3037.8999999999996</v>
      </c>
      <c r="E70" s="170">
        <v>0</v>
      </c>
      <c r="F70" s="170">
        <v>53.6268672</v>
      </c>
      <c r="G70" s="170">
        <v>35.751244800000002</v>
      </c>
      <c r="H70" s="170">
        <v>0</v>
      </c>
      <c r="I70" s="164"/>
      <c r="J70" s="164"/>
      <c r="K70" s="164"/>
      <c r="L70" s="164"/>
      <c r="M70" s="170">
        <v>2948.5218879999998</v>
      </c>
      <c r="N70" s="164">
        <f t="shared" si="9"/>
        <v>3037.8999999999996</v>
      </c>
      <c r="O70" s="170">
        <v>0</v>
      </c>
      <c r="P70" s="170">
        <v>53.6268672</v>
      </c>
      <c r="Q70" s="170">
        <v>35.751244800000002</v>
      </c>
      <c r="R70" s="170">
        <v>0</v>
      </c>
      <c r="S70" s="170">
        <v>0</v>
      </c>
      <c r="T70" s="170">
        <v>0</v>
      </c>
      <c r="U70" s="170">
        <v>0</v>
      </c>
      <c r="V70" s="170">
        <v>0</v>
      </c>
      <c r="W70" s="170">
        <v>2948.5218879999998</v>
      </c>
      <c r="X70" s="164">
        <f t="shared" si="10"/>
        <v>3037.8999999999996</v>
      </c>
      <c r="Y70" s="164"/>
      <c r="Z70" s="164">
        <v>53.6268672</v>
      </c>
      <c r="AA70" s="164">
        <v>35.751244800000002</v>
      </c>
      <c r="AB70" s="164"/>
      <c r="AC70" s="164"/>
      <c r="AD70" s="164"/>
      <c r="AE70" s="164"/>
      <c r="AF70" s="164"/>
      <c r="AG70" s="164">
        <v>2948.5218879999998</v>
      </c>
      <c r="AH70" s="164">
        <f t="shared" si="5"/>
        <v>1.7652611080022382</v>
      </c>
      <c r="AI70" s="164">
        <f t="shared" si="6"/>
        <v>2.9421018466703974</v>
      </c>
      <c r="AJ70" s="164">
        <v>60</v>
      </c>
      <c r="AK70" s="164">
        <v>80</v>
      </c>
    </row>
    <row r="71" spans="1:37" s="144" customFormat="1" ht="48">
      <c r="A71" s="164">
        <v>4</v>
      </c>
      <c r="B71" s="150" t="s">
        <v>317</v>
      </c>
      <c r="C71" s="164">
        <v>1273.0999999999999</v>
      </c>
      <c r="D71" s="164">
        <f t="shared" si="8"/>
        <v>1273.0999999999999</v>
      </c>
      <c r="E71" s="170">
        <v>0</v>
      </c>
      <c r="F71" s="170">
        <v>67.264200000000002</v>
      </c>
      <c r="G71" s="170">
        <v>44.842799999999997</v>
      </c>
      <c r="H71" s="170">
        <v>0</v>
      </c>
      <c r="I71" s="164"/>
      <c r="J71" s="164"/>
      <c r="K71" s="164"/>
      <c r="L71" s="164"/>
      <c r="M71" s="170">
        <v>1160.9929999999999</v>
      </c>
      <c r="N71" s="164">
        <f t="shared" si="9"/>
        <v>1273.0999999999999</v>
      </c>
      <c r="O71" s="170">
        <v>0</v>
      </c>
      <c r="P71" s="170">
        <v>67.264200000000002</v>
      </c>
      <c r="Q71" s="170">
        <v>44.842799999999997</v>
      </c>
      <c r="R71" s="170">
        <v>0</v>
      </c>
      <c r="S71" s="170">
        <v>0</v>
      </c>
      <c r="T71" s="170">
        <v>0</v>
      </c>
      <c r="U71" s="170">
        <v>0</v>
      </c>
      <c r="V71" s="170">
        <v>0</v>
      </c>
      <c r="W71" s="170">
        <v>1160.9929999999999</v>
      </c>
      <c r="X71" s="164">
        <f t="shared" si="10"/>
        <v>1273.0999999999999</v>
      </c>
      <c r="Y71" s="164"/>
      <c r="Z71" s="164">
        <v>67.264200000000002</v>
      </c>
      <c r="AA71" s="164">
        <v>44.842799999999997</v>
      </c>
      <c r="AB71" s="164"/>
      <c r="AC71" s="164"/>
      <c r="AD71" s="164"/>
      <c r="AE71" s="164"/>
      <c r="AF71" s="164"/>
      <c r="AG71" s="164">
        <v>1160.9929999999999</v>
      </c>
      <c r="AH71" s="164">
        <f t="shared" si="5"/>
        <v>5.2834969758856341</v>
      </c>
      <c r="AI71" s="164">
        <f t="shared" si="6"/>
        <v>8.8058282931427225</v>
      </c>
      <c r="AJ71" s="164">
        <v>40</v>
      </c>
      <c r="AK71" s="164">
        <v>70</v>
      </c>
    </row>
    <row r="72" spans="1:37" s="144" customFormat="1" ht="24">
      <c r="A72" s="164">
        <v>5</v>
      </c>
      <c r="B72" s="150" t="s">
        <v>297</v>
      </c>
      <c r="C72" s="164">
        <v>1431.6</v>
      </c>
      <c r="D72" s="164">
        <f t="shared" si="8"/>
        <v>1431.6</v>
      </c>
      <c r="E72" s="170">
        <v>0</v>
      </c>
      <c r="F72" s="170">
        <v>52</v>
      </c>
      <c r="G72" s="170">
        <v>26.068352000000004</v>
      </c>
      <c r="H72" s="170">
        <v>0</v>
      </c>
      <c r="I72" s="164"/>
      <c r="J72" s="164"/>
      <c r="K72" s="164"/>
      <c r="L72" s="164"/>
      <c r="M72" s="170">
        <v>1353.5316479999999</v>
      </c>
      <c r="N72" s="164">
        <f t="shared" si="9"/>
        <v>1431.6</v>
      </c>
      <c r="O72" s="170">
        <v>0</v>
      </c>
      <c r="P72" s="170">
        <v>52</v>
      </c>
      <c r="Q72" s="170">
        <v>26.068352000000004</v>
      </c>
      <c r="R72" s="170">
        <v>0</v>
      </c>
      <c r="S72" s="170">
        <v>0</v>
      </c>
      <c r="T72" s="170">
        <v>0</v>
      </c>
      <c r="U72" s="170">
        <v>0</v>
      </c>
      <c r="V72" s="170">
        <v>0</v>
      </c>
      <c r="W72" s="170">
        <v>1353.5316479999999</v>
      </c>
      <c r="X72" s="164">
        <f t="shared" si="10"/>
        <v>1431.6</v>
      </c>
      <c r="Y72" s="164"/>
      <c r="Z72" s="164">
        <v>52</v>
      </c>
      <c r="AA72" s="164">
        <v>26.068352000000004</v>
      </c>
      <c r="AB72" s="164"/>
      <c r="AC72" s="164"/>
      <c r="AD72" s="164"/>
      <c r="AE72" s="164"/>
      <c r="AF72" s="164"/>
      <c r="AG72" s="164">
        <v>1353.5316479999999</v>
      </c>
      <c r="AH72" s="164">
        <f t="shared" si="5"/>
        <v>3.6322995250069856</v>
      </c>
      <c r="AI72" s="164">
        <f t="shared" si="6"/>
        <v>5.4532238055322724</v>
      </c>
      <c r="AJ72" s="164">
        <v>60</v>
      </c>
      <c r="AK72" s="164">
        <v>80</v>
      </c>
    </row>
    <row r="73" spans="1:37" s="144" customFormat="1" ht="60">
      <c r="A73" s="164">
        <v>6</v>
      </c>
      <c r="B73" s="150" t="s">
        <v>318</v>
      </c>
      <c r="C73" s="164">
        <v>3635.6</v>
      </c>
      <c r="D73" s="164">
        <f t="shared" si="8"/>
        <v>3635.5999999999995</v>
      </c>
      <c r="E73" s="170">
        <v>0</v>
      </c>
      <c r="F73" s="170">
        <v>253.48876799999999</v>
      </c>
      <c r="G73" s="170">
        <v>168.992232</v>
      </c>
      <c r="H73" s="170">
        <v>0</v>
      </c>
      <c r="I73" s="164"/>
      <c r="J73" s="164"/>
      <c r="K73" s="164"/>
      <c r="L73" s="164"/>
      <c r="M73" s="170">
        <v>3213.1189999999997</v>
      </c>
      <c r="N73" s="164">
        <f t="shared" si="9"/>
        <v>3635.5999999999995</v>
      </c>
      <c r="O73" s="170">
        <v>0</v>
      </c>
      <c r="P73" s="170">
        <v>253.48876799999999</v>
      </c>
      <c r="Q73" s="170">
        <v>168.992232</v>
      </c>
      <c r="R73" s="170">
        <v>0</v>
      </c>
      <c r="S73" s="170">
        <v>0</v>
      </c>
      <c r="T73" s="170">
        <v>0</v>
      </c>
      <c r="U73" s="170">
        <v>0</v>
      </c>
      <c r="V73" s="170">
        <v>0</v>
      </c>
      <c r="W73" s="170">
        <v>3213.1189999999997</v>
      </c>
      <c r="X73" s="164">
        <f t="shared" si="10"/>
        <v>3635.5999999999995</v>
      </c>
      <c r="Y73" s="164"/>
      <c r="Z73" s="164">
        <v>253.48876799999999</v>
      </c>
      <c r="AA73" s="164">
        <v>168.992232</v>
      </c>
      <c r="AB73" s="164"/>
      <c r="AC73" s="164"/>
      <c r="AD73" s="164"/>
      <c r="AE73" s="164"/>
      <c r="AF73" s="164"/>
      <c r="AG73" s="164">
        <v>3213.1189999999997</v>
      </c>
      <c r="AH73" s="164">
        <f t="shared" si="5"/>
        <v>6.9724053251182747</v>
      </c>
      <c r="AI73" s="164">
        <f t="shared" si="6"/>
        <v>11.620667840246451</v>
      </c>
      <c r="AJ73" s="164">
        <v>40</v>
      </c>
      <c r="AK73" s="164">
        <v>70</v>
      </c>
    </row>
    <row r="74" spans="1:37" s="144" customFormat="1" ht="48">
      <c r="A74" s="164">
        <v>7</v>
      </c>
      <c r="B74" s="150" t="s">
        <v>319</v>
      </c>
      <c r="C74" s="164">
        <v>459.1</v>
      </c>
      <c r="D74" s="164">
        <f t="shared" si="8"/>
        <v>459.1</v>
      </c>
      <c r="E74" s="170">
        <v>0</v>
      </c>
      <c r="F74" s="170">
        <v>47.621760000000002</v>
      </c>
      <c r="G74" s="170">
        <v>31.747840000000004</v>
      </c>
      <c r="H74" s="170">
        <v>0</v>
      </c>
      <c r="I74" s="164"/>
      <c r="J74" s="164"/>
      <c r="K74" s="164"/>
      <c r="L74" s="164"/>
      <c r="M74" s="170">
        <v>379.73040000000003</v>
      </c>
      <c r="N74" s="164">
        <f t="shared" si="9"/>
        <v>459.1</v>
      </c>
      <c r="O74" s="170">
        <v>0</v>
      </c>
      <c r="P74" s="170">
        <v>47.621760000000002</v>
      </c>
      <c r="Q74" s="170">
        <v>31.747840000000004</v>
      </c>
      <c r="R74" s="170">
        <v>0</v>
      </c>
      <c r="S74" s="170">
        <v>0</v>
      </c>
      <c r="T74" s="170">
        <v>0</v>
      </c>
      <c r="U74" s="170">
        <v>0</v>
      </c>
      <c r="V74" s="170">
        <v>0</v>
      </c>
      <c r="W74" s="170">
        <v>379.73040000000003</v>
      </c>
      <c r="X74" s="164">
        <f t="shared" si="10"/>
        <v>459.1</v>
      </c>
      <c r="Y74" s="164"/>
      <c r="Z74" s="164">
        <v>47.621760000000002</v>
      </c>
      <c r="AA74" s="164">
        <v>31.747840000000004</v>
      </c>
      <c r="AB74" s="164"/>
      <c r="AC74" s="164"/>
      <c r="AD74" s="164"/>
      <c r="AE74" s="164"/>
      <c r="AF74" s="164"/>
      <c r="AG74" s="164">
        <v>379.73040000000003</v>
      </c>
      <c r="AH74" s="164">
        <f t="shared" si="5"/>
        <v>10.372851230668699</v>
      </c>
      <c r="AI74" s="164">
        <f t="shared" si="6"/>
        <v>17.288085384447832</v>
      </c>
      <c r="AJ74" s="164">
        <v>60</v>
      </c>
      <c r="AK74" s="164">
        <v>80</v>
      </c>
    </row>
    <row r="75" spans="1:37" s="144" customFormat="1" ht="48">
      <c r="A75" s="164">
        <v>8</v>
      </c>
      <c r="B75" s="150" t="s">
        <v>320</v>
      </c>
      <c r="C75" s="164">
        <v>1349.1</v>
      </c>
      <c r="D75" s="164">
        <f t="shared" si="8"/>
        <v>1349.1</v>
      </c>
      <c r="E75" s="170">
        <v>0</v>
      </c>
      <c r="F75" s="170">
        <v>123.9098</v>
      </c>
      <c r="G75" s="170">
        <v>53.104200000000006</v>
      </c>
      <c r="H75" s="170">
        <v>0</v>
      </c>
      <c r="I75" s="164"/>
      <c r="J75" s="164"/>
      <c r="K75" s="164"/>
      <c r="L75" s="164"/>
      <c r="M75" s="170">
        <v>1172.086</v>
      </c>
      <c r="N75" s="164">
        <f t="shared" si="9"/>
        <v>1349.1</v>
      </c>
      <c r="O75" s="170">
        <v>0</v>
      </c>
      <c r="P75" s="170">
        <v>123.9098</v>
      </c>
      <c r="Q75" s="170">
        <v>53.104200000000006</v>
      </c>
      <c r="R75" s="170">
        <v>0</v>
      </c>
      <c r="S75" s="170">
        <v>0</v>
      </c>
      <c r="T75" s="170">
        <v>0</v>
      </c>
      <c r="U75" s="170">
        <v>0</v>
      </c>
      <c r="V75" s="170">
        <v>0</v>
      </c>
      <c r="W75" s="170">
        <v>1172.086</v>
      </c>
      <c r="X75" s="164">
        <f t="shared" si="10"/>
        <v>1349.1</v>
      </c>
      <c r="Y75" s="164"/>
      <c r="Z75" s="164">
        <v>123.9098</v>
      </c>
      <c r="AA75" s="164">
        <v>53.104200000000006</v>
      </c>
      <c r="AB75" s="164"/>
      <c r="AC75" s="164"/>
      <c r="AD75" s="164"/>
      <c r="AE75" s="164"/>
      <c r="AF75" s="164"/>
      <c r="AG75" s="164">
        <v>1172.086</v>
      </c>
      <c r="AH75" s="164">
        <f t="shared" si="5"/>
        <v>9.1846267882291901</v>
      </c>
      <c r="AI75" s="164">
        <f t="shared" si="6"/>
        <v>13.120895411755987</v>
      </c>
      <c r="AJ75" s="164">
        <v>40</v>
      </c>
      <c r="AK75" s="164">
        <v>70</v>
      </c>
    </row>
    <row r="76" spans="1:37" s="161" customFormat="1" ht="12">
      <c r="A76" s="168"/>
      <c r="B76" s="249" t="s">
        <v>265</v>
      </c>
      <c r="C76" s="160">
        <f t="shared" ref="C76:AG76" si="15">SUM(C77:C88)</f>
        <v>11645.166000000003</v>
      </c>
      <c r="D76" s="160">
        <f t="shared" si="15"/>
        <v>11645.166000000003</v>
      </c>
      <c r="E76" s="160">
        <f t="shared" si="15"/>
        <v>0</v>
      </c>
      <c r="F76" s="160">
        <f t="shared" si="15"/>
        <v>424.97719999999993</v>
      </c>
      <c r="G76" s="160">
        <f t="shared" si="15"/>
        <v>2544.3188</v>
      </c>
      <c r="H76" s="160">
        <f t="shared" si="15"/>
        <v>6120</v>
      </c>
      <c r="I76" s="160">
        <f t="shared" si="15"/>
        <v>0</v>
      </c>
      <c r="J76" s="160">
        <f t="shared" si="15"/>
        <v>0</v>
      </c>
      <c r="K76" s="160">
        <f t="shared" si="15"/>
        <v>0</v>
      </c>
      <c r="L76" s="160">
        <f t="shared" si="15"/>
        <v>0</v>
      </c>
      <c r="M76" s="160">
        <f t="shared" si="15"/>
        <v>2555.87</v>
      </c>
      <c r="N76" s="160">
        <f t="shared" si="15"/>
        <v>11645.166000000003</v>
      </c>
      <c r="O76" s="160">
        <f t="shared" si="15"/>
        <v>0</v>
      </c>
      <c r="P76" s="160">
        <f t="shared" si="15"/>
        <v>424.97719999999993</v>
      </c>
      <c r="Q76" s="160">
        <f t="shared" si="15"/>
        <v>2544.3188</v>
      </c>
      <c r="R76" s="160">
        <f t="shared" si="15"/>
        <v>6120</v>
      </c>
      <c r="S76" s="160">
        <f t="shared" si="15"/>
        <v>0</v>
      </c>
      <c r="T76" s="160">
        <f t="shared" si="15"/>
        <v>0</v>
      </c>
      <c r="U76" s="160">
        <f t="shared" si="15"/>
        <v>0</v>
      </c>
      <c r="V76" s="160">
        <f t="shared" si="15"/>
        <v>0</v>
      </c>
      <c r="W76" s="160">
        <f t="shared" si="15"/>
        <v>2555.87</v>
      </c>
      <c r="X76" s="160">
        <f t="shared" si="15"/>
        <v>11645.166000000003</v>
      </c>
      <c r="Y76" s="160">
        <f t="shared" si="15"/>
        <v>0</v>
      </c>
      <c r="Z76" s="160">
        <f t="shared" si="15"/>
        <v>424.97719999999993</v>
      </c>
      <c r="AA76" s="160">
        <f t="shared" si="15"/>
        <v>2544.3188</v>
      </c>
      <c r="AB76" s="160">
        <f t="shared" si="15"/>
        <v>6120</v>
      </c>
      <c r="AC76" s="160">
        <f t="shared" si="15"/>
        <v>0</v>
      </c>
      <c r="AD76" s="160">
        <f t="shared" si="15"/>
        <v>0</v>
      </c>
      <c r="AE76" s="160">
        <f t="shared" si="15"/>
        <v>0</v>
      </c>
      <c r="AF76" s="160">
        <f t="shared" si="15"/>
        <v>0</v>
      </c>
      <c r="AG76" s="160">
        <f t="shared" si="15"/>
        <v>2555.87</v>
      </c>
      <c r="AH76" s="160"/>
      <c r="AI76" s="160"/>
      <c r="AJ76" s="160"/>
      <c r="AK76" s="160"/>
    </row>
    <row r="77" spans="1:37" s="144" customFormat="1" ht="36">
      <c r="A77" s="164">
        <v>1</v>
      </c>
      <c r="B77" s="253" t="s">
        <v>321</v>
      </c>
      <c r="C77" s="164">
        <f>+X77</f>
        <v>620</v>
      </c>
      <c r="D77" s="164">
        <f t="shared" si="8"/>
        <v>620</v>
      </c>
      <c r="E77" s="170">
        <v>0</v>
      </c>
      <c r="F77" s="170">
        <v>0</v>
      </c>
      <c r="G77" s="170">
        <v>230</v>
      </c>
      <c r="H77" s="170">
        <v>300</v>
      </c>
      <c r="I77" s="164"/>
      <c r="J77" s="164"/>
      <c r="K77" s="164"/>
      <c r="L77" s="164"/>
      <c r="M77" s="170">
        <v>90</v>
      </c>
      <c r="N77" s="164">
        <f t="shared" si="9"/>
        <v>620</v>
      </c>
      <c r="O77" s="164">
        <v>0</v>
      </c>
      <c r="P77" s="170">
        <v>0</v>
      </c>
      <c r="Q77" s="170">
        <v>230</v>
      </c>
      <c r="R77" s="170">
        <v>300</v>
      </c>
      <c r="S77" s="170">
        <v>0</v>
      </c>
      <c r="T77" s="170">
        <v>0</v>
      </c>
      <c r="U77" s="170">
        <v>0</v>
      </c>
      <c r="V77" s="170">
        <v>0</v>
      </c>
      <c r="W77" s="170">
        <v>90</v>
      </c>
      <c r="X77" s="164">
        <f t="shared" si="10"/>
        <v>620</v>
      </c>
      <c r="Y77" s="164"/>
      <c r="Z77" s="164"/>
      <c r="AA77" s="164">
        <v>230</v>
      </c>
      <c r="AB77" s="164">
        <v>300</v>
      </c>
      <c r="AC77" s="164"/>
      <c r="AD77" s="164"/>
      <c r="AE77" s="164"/>
      <c r="AF77" s="164"/>
      <c r="AG77" s="164">
        <v>90</v>
      </c>
      <c r="AH77" s="164">
        <f t="shared" si="5"/>
        <v>0</v>
      </c>
      <c r="AI77" s="164">
        <f t="shared" si="6"/>
        <v>85.483870967741936</v>
      </c>
      <c r="AJ77" s="163">
        <v>60</v>
      </c>
      <c r="AK77" s="163">
        <v>80</v>
      </c>
    </row>
    <row r="78" spans="1:37" s="144" customFormat="1" ht="24">
      <c r="A78" s="164">
        <v>2</v>
      </c>
      <c r="B78" s="253" t="s">
        <v>322</v>
      </c>
      <c r="C78" s="164">
        <f>+X78</f>
        <v>664.53</v>
      </c>
      <c r="D78" s="164">
        <f t="shared" si="8"/>
        <v>664.53</v>
      </c>
      <c r="E78" s="170">
        <v>0</v>
      </c>
      <c r="F78" s="170">
        <v>0</v>
      </c>
      <c r="G78" s="170">
        <v>260</v>
      </c>
      <c r="H78" s="170">
        <v>300</v>
      </c>
      <c r="I78" s="164"/>
      <c r="J78" s="164"/>
      <c r="K78" s="164"/>
      <c r="L78" s="164"/>
      <c r="M78" s="170">
        <v>104.53</v>
      </c>
      <c r="N78" s="164">
        <f t="shared" si="9"/>
        <v>664.53</v>
      </c>
      <c r="O78" s="170">
        <v>0</v>
      </c>
      <c r="P78" s="170">
        <v>0</v>
      </c>
      <c r="Q78" s="170">
        <v>260</v>
      </c>
      <c r="R78" s="170">
        <v>300</v>
      </c>
      <c r="S78" s="170">
        <v>0</v>
      </c>
      <c r="T78" s="170">
        <v>0</v>
      </c>
      <c r="U78" s="170">
        <v>0</v>
      </c>
      <c r="V78" s="170">
        <v>0</v>
      </c>
      <c r="W78" s="170">
        <v>104.53</v>
      </c>
      <c r="X78" s="164">
        <f t="shared" si="10"/>
        <v>664.53</v>
      </c>
      <c r="Y78" s="164"/>
      <c r="Z78" s="164"/>
      <c r="AA78" s="164">
        <v>260</v>
      </c>
      <c r="AB78" s="164">
        <v>300</v>
      </c>
      <c r="AC78" s="164"/>
      <c r="AD78" s="164"/>
      <c r="AE78" s="164"/>
      <c r="AF78" s="164"/>
      <c r="AG78" s="164">
        <v>104.53</v>
      </c>
      <c r="AH78" s="164">
        <f t="shared" ref="AH78:AH98" si="16">+(Y78+Z78)/C78*100</f>
        <v>0</v>
      </c>
      <c r="AI78" s="164">
        <f t="shared" ref="AI78:AI98" si="17">+(Y78+Z78+AA78+AB78)/C78*100</f>
        <v>84.270085624426301</v>
      </c>
      <c r="AJ78" s="163">
        <v>60</v>
      </c>
      <c r="AK78" s="163">
        <v>80</v>
      </c>
    </row>
    <row r="79" spans="1:37" s="144" customFormat="1" ht="36">
      <c r="A79" s="164">
        <v>3</v>
      </c>
      <c r="B79" s="253" t="s">
        <v>323</v>
      </c>
      <c r="C79" s="164">
        <v>924</v>
      </c>
      <c r="D79" s="164">
        <f t="shared" si="8"/>
        <v>924</v>
      </c>
      <c r="E79" s="170">
        <v>0</v>
      </c>
      <c r="F79" s="170">
        <v>0</v>
      </c>
      <c r="G79" s="170">
        <v>300</v>
      </c>
      <c r="H79" s="170">
        <v>400</v>
      </c>
      <c r="I79" s="164"/>
      <c r="J79" s="164"/>
      <c r="K79" s="164"/>
      <c r="L79" s="164"/>
      <c r="M79" s="170">
        <v>224</v>
      </c>
      <c r="N79" s="164">
        <f t="shared" si="9"/>
        <v>924</v>
      </c>
      <c r="O79" s="170">
        <v>0</v>
      </c>
      <c r="P79" s="170">
        <v>0</v>
      </c>
      <c r="Q79" s="170">
        <v>300</v>
      </c>
      <c r="R79" s="170">
        <v>400</v>
      </c>
      <c r="S79" s="170">
        <v>0</v>
      </c>
      <c r="T79" s="170">
        <v>0</v>
      </c>
      <c r="U79" s="170">
        <v>0</v>
      </c>
      <c r="V79" s="170">
        <v>0</v>
      </c>
      <c r="W79" s="170">
        <v>224</v>
      </c>
      <c r="X79" s="164">
        <f t="shared" si="10"/>
        <v>924</v>
      </c>
      <c r="Y79" s="164"/>
      <c r="Z79" s="164"/>
      <c r="AA79" s="164">
        <v>300</v>
      </c>
      <c r="AB79" s="164">
        <v>400</v>
      </c>
      <c r="AC79" s="164"/>
      <c r="AD79" s="164"/>
      <c r="AE79" s="164"/>
      <c r="AF79" s="164"/>
      <c r="AG79" s="164">
        <v>224</v>
      </c>
      <c r="AH79" s="164">
        <f t="shared" si="16"/>
        <v>0</v>
      </c>
      <c r="AI79" s="164">
        <f t="shared" si="17"/>
        <v>75.757575757575751</v>
      </c>
      <c r="AJ79" s="163">
        <v>60</v>
      </c>
      <c r="AK79" s="163">
        <v>80</v>
      </c>
    </row>
    <row r="80" spans="1:37" s="144" customFormat="1" ht="36">
      <c r="A80" s="164">
        <v>4</v>
      </c>
      <c r="B80" s="253" t="s">
        <v>324</v>
      </c>
      <c r="C80" s="164">
        <f>+X80</f>
        <v>464.036</v>
      </c>
      <c r="D80" s="164">
        <f t="shared" si="8"/>
        <v>464.036</v>
      </c>
      <c r="E80" s="170">
        <v>0</v>
      </c>
      <c r="F80" s="170">
        <v>0</v>
      </c>
      <c r="G80" s="170">
        <v>200</v>
      </c>
      <c r="H80" s="170">
        <v>200</v>
      </c>
      <c r="I80" s="164"/>
      <c r="J80" s="164"/>
      <c r="K80" s="164"/>
      <c r="L80" s="164"/>
      <c r="M80" s="170">
        <v>64.036000000000001</v>
      </c>
      <c r="N80" s="164">
        <f t="shared" si="9"/>
        <v>464.036</v>
      </c>
      <c r="O80" s="170">
        <v>0</v>
      </c>
      <c r="P80" s="170">
        <v>0</v>
      </c>
      <c r="Q80" s="170">
        <v>200</v>
      </c>
      <c r="R80" s="170">
        <v>200</v>
      </c>
      <c r="S80" s="170">
        <v>0</v>
      </c>
      <c r="T80" s="170">
        <v>0</v>
      </c>
      <c r="U80" s="170">
        <v>0</v>
      </c>
      <c r="V80" s="170">
        <v>0</v>
      </c>
      <c r="W80" s="170">
        <v>64.036000000000001</v>
      </c>
      <c r="X80" s="164">
        <f t="shared" si="10"/>
        <v>464.036</v>
      </c>
      <c r="Y80" s="164"/>
      <c r="Z80" s="164"/>
      <c r="AA80" s="164">
        <v>200</v>
      </c>
      <c r="AB80" s="164">
        <v>200</v>
      </c>
      <c r="AC80" s="164"/>
      <c r="AD80" s="164"/>
      <c r="AE80" s="164"/>
      <c r="AF80" s="164"/>
      <c r="AG80" s="164">
        <v>64.036000000000001</v>
      </c>
      <c r="AH80" s="164">
        <f t="shared" si="16"/>
        <v>0</v>
      </c>
      <c r="AI80" s="164">
        <f t="shared" si="17"/>
        <v>86.200208604504823</v>
      </c>
      <c r="AJ80" s="163">
        <v>60</v>
      </c>
      <c r="AK80" s="163">
        <v>80</v>
      </c>
    </row>
    <row r="81" spans="1:37" s="144" customFormat="1" ht="36">
      <c r="A81" s="164">
        <v>5</v>
      </c>
      <c r="B81" s="150" t="s">
        <v>305</v>
      </c>
      <c r="C81" s="164">
        <f>+X81</f>
        <v>1130.9000000000001</v>
      </c>
      <c r="D81" s="164">
        <f t="shared" ref="D81:D98" si="18">SUM(E81:M81)</f>
        <v>1130.9000000000001</v>
      </c>
      <c r="E81" s="170">
        <v>0</v>
      </c>
      <c r="F81" s="170">
        <v>15.9</v>
      </c>
      <c r="G81" s="170">
        <v>500</v>
      </c>
      <c r="H81" s="170">
        <v>500</v>
      </c>
      <c r="I81" s="164"/>
      <c r="J81" s="164"/>
      <c r="K81" s="164"/>
      <c r="L81" s="164"/>
      <c r="M81" s="170">
        <v>115</v>
      </c>
      <c r="N81" s="164">
        <f t="shared" ref="N81:N98" si="19">SUM(O81:W81)</f>
        <v>1130.9000000000001</v>
      </c>
      <c r="O81" s="170">
        <v>0</v>
      </c>
      <c r="P81" s="170">
        <v>15.9</v>
      </c>
      <c r="Q81" s="170">
        <v>500</v>
      </c>
      <c r="R81" s="170">
        <v>500</v>
      </c>
      <c r="S81" s="170">
        <v>0</v>
      </c>
      <c r="T81" s="170">
        <v>0</v>
      </c>
      <c r="U81" s="170">
        <v>0</v>
      </c>
      <c r="V81" s="170">
        <v>0</v>
      </c>
      <c r="W81" s="170">
        <v>115</v>
      </c>
      <c r="X81" s="164">
        <f t="shared" ref="X81:X98" si="20">SUM(Y81:AG81)</f>
        <v>1130.9000000000001</v>
      </c>
      <c r="Y81" s="164"/>
      <c r="Z81" s="164">
        <v>15.9</v>
      </c>
      <c r="AA81" s="164">
        <v>500</v>
      </c>
      <c r="AB81" s="164">
        <v>500</v>
      </c>
      <c r="AC81" s="164"/>
      <c r="AD81" s="164"/>
      <c r="AE81" s="164"/>
      <c r="AF81" s="164"/>
      <c r="AG81" s="164">
        <v>115</v>
      </c>
      <c r="AH81" s="164">
        <f t="shared" si="16"/>
        <v>1.405959854982757</v>
      </c>
      <c r="AI81" s="164">
        <f t="shared" si="17"/>
        <v>89.831107967105837</v>
      </c>
      <c r="AJ81" s="163">
        <v>85</v>
      </c>
      <c r="AK81" s="163">
        <v>95</v>
      </c>
    </row>
    <row r="82" spans="1:37" s="144" customFormat="1" ht="24">
      <c r="A82" s="164">
        <v>8</v>
      </c>
      <c r="B82" s="150" t="s">
        <v>296</v>
      </c>
      <c r="C82" s="164">
        <f>+X82</f>
        <v>793</v>
      </c>
      <c r="D82" s="164">
        <f t="shared" si="18"/>
        <v>793</v>
      </c>
      <c r="E82" s="170">
        <v>0</v>
      </c>
      <c r="F82" s="170">
        <v>0</v>
      </c>
      <c r="G82" s="170">
        <v>200</v>
      </c>
      <c r="H82" s="170">
        <v>500</v>
      </c>
      <c r="I82" s="164"/>
      <c r="J82" s="164"/>
      <c r="K82" s="164"/>
      <c r="L82" s="164"/>
      <c r="M82" s="170">
        <v>93</v>
      </c>
      <c r="N82" s="164">
        <f t="shared" si="19"/>
        <v>793</v>
      </c>
      <c r="O82" s="170">
        <v>0</v>
      </c>
      <c r="P82" s="170">
        <v>0</v>
      </c>
      <c r="Q82" s="170">
        <v>200</v>
      </c>
      <c r="R82" s="170">
        <v>500</v>
      </c>
      <c r="S82" s="170">
        <v>0</v>
      </c>
      <c r="T82" s="170">
        <v>0</v>
      </c>
      <c r="U82" s="170">
        <v>0</v>
      </c>
      <c r="V82" s="170">
        <v>0</v>
      </c>
      <c r="W82" s="170">
        <v>93</v>
      </c>
      <c r="X82" s="164">
        <f t="shared" si="20"/>
        <v>793</v>
      </c>
      <c r="Y82" s="164"/>
      <c r="Z82" s="164"/>
      <c r="AA82" s="164">
        <v>200</v>
      </c>
      <c r="AB82" s="164">
        <v>500</v>
      </c>
      <c r="AC82" s="164"/>
      <c r="AD82" s="164"/>
      <c r="AE82" s="164"/>
      <c r="AF82" s="164"/>
      <c r="AG82" s="164">
        <v>93</v>
      </c>
      <c r="AH82" s="164">
        <f t="shared" si="16"/>
        <v>0</v>
      </c>
      <c r="AI82" s="164">
        <f>+(Y82+Z82+AA82+AB82)/C82*100</f>
        <v>88.272383354350566</v>
      </c>
      <c r="AJ82" s="163">
        <v>60</v>
      </c>
      <c r="AK82" s="163">
        <v>80</v>
      </c>
    </row>
    <row r="83" spans="1:37" s="144" customFormat="1" ht="24">
      <c r="A83" s="164">
        <v>9</v>
      </c>
      <c r="B83" s="150" t="s">
        <v>303</v>
      </c>
      <c r="C83" s="164">
        <v>1772.2</v>
      </c>
      <c r="D83" s="164">
        <f t="shared" si="18"/>
        <v>1772.2</v>
      </c>
      <c r="E83" s="170">
        <v>0</v>
      </c>
      <c r="F83" s="170">
        <v>282.65159999999997</v>
      </c>
      <c r="G83" s="170">
        <v>121.13640000000004</v>
      </c>
      <c r="H83" s="170">
        <v>1000</v>
      </c>
      <c r="I83" s="164"/>
      <c r="J83" s="164"/>
      <c r="K83" s="164"/>
      <c r="L83" s="164"/>
      <c r="M83" s="170">
        <v>368.41200000000003</v>
      </c>
      <c r="N83" s="164">
        <f t="shared" si="19"/>
        <v>1772.2</v>
      </c>
      <c r="O83" s="170">
        <v>0</v>
      </c>
      <c r="P83" s="170">
        <v>282.65159999999997</v>
      </c>
      <c r="Q83" s="170">
        <v>121.13640000000004</v>
      </c>
      <c r="R83" s="170">
        <v>1000</v>
      </c>
      <c r="S83" s="170">
        <v>0</v>
      </c>
      <c r="T83" s="170">
        <v>0</v>
      </c>
      <c r="U83" s="170">
        <v>0</v>
      </c>
      <c r="V83" s="170">
        <v>0</v>
      </c>
      <c r="W83" s="170">
        <v>368.41200000000003</v>
      </c>
      <c r="X83" s="164">
        <f t="shared" si="20"/>
        <v>1772.2</v>
      </c>
      <c r="Y83" s="164"/>
      <c r="Z83" s="164">
        <v>282.65159999999997</v>
      </c>
      <c r="AA83" s="164">
        <v>121.13640000000004</v>
      </c>
      <c r="AB83" s="164">
        <v>1000</v>
      </c>
      <c r="AC83" s="164"/>
      <c r="AD83" s="164"/>
      <c r="AE83" s="164"/>
      <c r="AF83" s="164"/>
      <c r="AG83" s="164">
        <v>368.41200000000003</v>
      </c>
      <c r="AH83" s="164">
        <f t="shared" si="16"/>
        <v>15.949193093330322</v>
      </c>
      <c r="AI83" s="164">
        <f t="shared" si="17"/>
        <v>79.211601399390588</v>
      </c>
      <c r="AJ83" s="163">
        <v>60</v>
      </c>
      <c r="AK83" s="163">
        <v>80</v>
      </c>
    </row>
    <row r="84" spans="1:37" s="144" customFormat="1" ht="24">
      <c r="A84" s="164">
        <v>10</v>
      </c>
      <c r="B84" s="150" t="s">
        <v>297</v>
      </c>
      <c r="C84" s="164">
        <v>2068.1999999999998</v>
      </c>
      <c r="D84" s="164">
        <f t="shared" si="18"/>
        <v>2068.1999999999998</v>
      </c>
      <c r="E84" s="170">
        <v>0</v>
      </c>
      <c r="F84" s="170">
        <v>126.42559999999999</v>
      </c>
      <c r="G84" s="170">
        <v>54.182400000000015</v>
      </c>
      <c r="H84" s="170">
        <v>1000</v>
      </c>
      <c r="I84" s="164"/>
      <c r="J84" s="164"/>
      <c r="K84" s="164"/>
      <c r="L84" s="164"/>
      <c r="M84" s="170">
        <v>887.59199999999987</v>
      </c>
      <c r="N84" s="164">
        <f t="shared" si="19"/>
        <v>2068.1999999999998</v>
      </c>
      <c r="O84" s="170">
        <v>0</v>
      </c>
      <c r="P84" s="170">
        <v>126.42559999999999</v>
      </c>
      <c r="Q84" s="170">
        <v>54.182400000000015</v>
      </c>
      <c r="R84" s="170">
        <v>1000</v>
      </c>
      <c r="S84" s="170">
        <v>0</v>
      </c>
      <c r="T84" s="170">
        <v>0</v>
      </c>
      <c r="U84" s="170">
        <v>0</v>
      </c>
      <c r="V84" s="170">
        <v>0</v>
      </c>
      <c r="W84" s="170">
        <v>887.59199999999987</v>
      </c>
      <c r="X84" s="164">
        <f t="shared" si="20"/>
        <v>2068.1999999999998</v>
      </c>
      <c r="Y84" s="164"/>
      <c r="Z84" s="164">
        <v>126.42559999999999</v>
      </c>
      <c r="AA84" s="164">
        <v>54.182400000000015</v>
      </c>
      <c r="AB84" s="164">
        <v>1000</v>
      </c>
      <c r="AC84" s="164"/>
      <c r="AD84" s="164"/>
      <c r="AE84" s="164"/>
      <c r="AF84" s="164"/>
      <c r="AG84" s="164">
        <v>887.59199999999987</v>
      </c>
      <c r="AH84" s="164">
        <f t="shared" si="16"/>
        <v>6.1128324146600912</v>
      </c>
      <c r="AI84" s="164">
        <f t="shared" si="17"/>
        <v>57.08384102117784</v>
      </c>
      <c r="AJ84" s="163">
        <v>60</v>
      </c>
      <c r="AK84" s="163">
        <v>80</v>
      </c>
    </row>
    <row r="85" spans="1:37" s="144" customFormat="1" ht="24">
      <c r="A85" s="164">
        <v>11</v>
      </c>
      <c r="B85" s="253" t="s">
        <v>300</v>
      </c>
      <c r="C85" s="164">
        <v>699.7</v>
      </c>
      <c r="D85" s="164">
        <f t="shared" si="18"/>
        <v>699.7</v>
      </c>
      <c r="E85" s="170">
        <v>0</v>
      </c>
      <c r="F85" s="170">
        <v>0</v>
      </c>
      <c r="G85" s="170">
        <v>170</v>
      </c>
      <c r="H85" s="170">
        <v>390</v>
      </c>
      <c r="I85" s="164"/>
      <c r="J85" s="164"/>
      <c r="K85" s="164"/>
      <c r="L85" s="164"/>
      <c r="M85" s="170">
        <v>139.70000000000005</v>
      </c>
      <c r="N85" s="164">
        <f t="shared" si="19"/>
        <v>699.7</v>
      </c>
      <c r="O85" s="170">
        <v>0</v>
      </c>
      <c r="P85" s="170">
        <v>0</v>
      </c>
      <c r="Q85" s="170">
        <v>170</v>
      </c>
      <c r="R85" s="170">
        <v>390</v>
      </c>
      <c r="S85" s="170">
        <v>0</v>
      </c>
      <c r="T85" s="170">
        <v>0</v>
      </c>
      <c r="U85" s="170">
        <v>0</v>
      </c>
      <c r="V85" s="170">
        <v>0</v>
      </c>
      <c r="W85" s="170">
        <v>139.70000000000005</v>
      </c>
      <c r="X85" s="164">
        <f t="shared" si="20"/>
        <v>699.7</v>
      </c>
      <c r="Y85" s="164"/>
      <c r="Z85" s="164"/>
      <c r="AA85" s="164">
        <v>170</v>
      </c>
      <c r="AB85" s="164">
        <v>390</v>
      </c>
      <c r="AC85" s="164"/>
      <c r="AD85" s="164"/>
      <c r="AE85" s="164"/>
      <c r="AF85" s="164"/>
      <c r="AG85" s="164">
        <v>139.70000000000005</v>
      </c>
      <c r="AH85" s="164">
        <f t="shared" si="16"/>
        <v>0</v>
      </c>
      <c r="AI85" s="164">
        <f t="shared" si="17"/>
        <v>80.034300414463331</v>
      </c>
      <c r="AJ85" s="163">
        <v>60</v>
      </c>
      <c r="AK85" s="163">
        <v>80</v>
      </c>
    </row>
    <row r="86" spans="1:37" s="144" customFormat="1" ht="36">
      <c r="A86" s="164">
        <v>12</v>
      </c>
      <c r="B86" s="253" t="s">
        <v>301</v>
      </c>
      <c r="C86" s="164">
        <v>757.2</v>
      </c>
      <c r="D86" s="164">
        <f t="shared" si="18"/>
        <v>757.2</v>
      </c>
      <c r="E86" s="170">
        <v>0</v>
      </c>
      <c r="F86" s="170">
        <v>0</v>
      </c>
      <c r="G86" s="170">
        <v>180</v>
      </c>
      <c r="H86" s="170">
        <v>430</v>
      </c>
      <c r="I86" s="164"/>
      <c r="J86" s="164"/>
      <c r="K86" s="164"/>
      <c r="L86" s="164"/>
      <c r="M86" s="170">
        <v>147.20000000000005</v>
      </c>
      <c r="N86" s="164">
        <f t="shared" si="19"/>
        <v>757.2</v>
      </c>
      <c r="O86" s="170">
        <v>0</v>
      </c>
      <c r="P86" s="170">
        <v>0</v>
      </c>
      <c r="Q86" s="170">
        <v>180</v>
      </c>
      <c r="R86" s="170">
        <v>430</v>
      </c>
      <c r="S86" s="170">
        <v>0</v>
      </c>
      <c r="T86" s="170">
        <v>0</v>
      </c>
      <c r="U86" s="170">
        <v>0</v>
      </c>
      <c r="V86" s="170">
        <v>0</v>
      </c>
      <c r="W86" s="170">
        <v>147.20000000000005</v>
      </c>
      <c r="X86" s="164">
        <f t="shared" si="20"/>
        <v>757.2</v>
      </c>
      <c r="Y86" s="164"/>
      <c r="Z86" s="164"/>
      <c r="AA86" s="164">
        <v>180</v>
      </c>
      <c r="AB86" s="164">
        <v>430</v>
      </c>
      <c r="AC86" s="164"/>
      <c r="AD86" s="164"/>
      <c r="AE86" s="164"/>
      <c r="AF86" s="164"/>
      <c r="AG86" s="164">
        <v>147.20000000000005</v>
      </c>
      <c r="AH86" s="164">
        <f t="shared" si="16"/>
        <v>0</v>
      </c>
      <c r="AI86" s="164">
        <f t="shared" si="17"/>
        <v>80.559957739038552</v>
      </c>
      <c r="AJ86" s="163">
        <v>85</v>
      </c>
      <c r="AK86" s="163">
        <v>95</v>
      </c>
    </row>
    <row r="87" spans="1:37" s="144" customFormat="1" ht="36">
      <c r="A87" s="164">
        <v>13</v>
      </c>
      <c r="B87" s="253" t="s">
        <v>299</v>
      </c>
      <c r="C87" s="164">
        <v>736.2</v>
      </c>
      <c r="D87" s="164">
        <f t="shared" si="18"/>
        <v>736.2</v>
      </c>
      <c r="E87" s="170">
        <v>0</v>
      </c>
      <c r="F87" s="170">
        <v>0</v>
      </c>
      <c r="G87" s="170">
        <v>180</v>
      </c>
      <c r="H87" s="170">
        <v>400</v>
      </c>
      <c r="I87" s="164"/>
      <c r="J87" s="164"/>
      <c r="K87" s="164"/>
      <c r="L87" s="164"/>
      <c r="M87" s="170">
        <v>156.20000000000005</v>
      </c>
      <c r="N87" s="164">
        <f t="shared" si="19"/>
        <v>736.2</v>
      </c>
      <c r="O87" s="170">
        <v>0</v>
      </c>
      <c r="P87" s="170">
        <v>0</v>
      </c>
      <c r="Q87" s="170">
        <v>180</v>
      </c>
      <c r="R87" s="170">
        <v>400</v>
      </c>
      <c r="S87" s="170">
        <v>0</v>
      </c>
      <c r="T87" s="170">
        <v>0</v>
      </c>
      <c r="U87" s="170">
        <v>0</v>
      </c>
      <c r="V87" s="170">
        <v>0</v>
      </c>
      <c r="W87" s="170">
        <v>156.20000000000005</v>
      </c>
      <c r="X87" s="164">
        <f t="shared" si="20"/>
        <v>736.2</v>
      </c>
      <c r="Y87" s="164"/>
      <c r="Z87" s="164"/>
      <c r="AA87" s="164">
        <v>180</v>
      </c>
      <c r="AB87" s="164">
        <v>400</v>
      </c>
      <c r="AC87" s="164"/>
      <c r="AD87" s="164"/>
      <c r="AE87" s="164"/>
      <c r="AF87" s="164"/>
      <c r="AG87" s="164">
        <v>156.20000000000005</v>
      </c>
      <c r="AH87" s="164">
        <f t="shared" si="16"/>
        <v>0</v>
      </c>
      <c r="AI87" s="164">
        <f t="shared" si="17"/>
        <v>78.782939418636232</v>
      </c>
      <c r="AJ87" s="163">
        <v>60</v>
      </c>
      <c r="AK87" s="163">
        <v>80</v>
      </c>
    </row>
    <row r="88" spans="1:37" s="144" customFormat="1" ht="24">
      <c r="A88" s="164">
        <v>14</v>
      </c>
      <c r="B88" s="253" t="s">
        <v>298</v>
      </c>
      <c r="C88" s="164">
        <v>1015.2</v>
      </c>
      <c r="D88" s="164">
        <f t="shared" si="18"/>
        <v>1015.2</v>
      </c>
      <c r="E88" s="170">
        <v>0</v>
      </c>
      <c r="F88" s="170">
        <v>0</v>
      </c>
      <c r="G88" s="170">
        <v>149</v>
      </c>
      <c r="H88" s="170">
        <v>700</v>
      </c>
      <c r="I88" s="164"/>
      <c r="J88" s="164"/>
      <c r="K88" s="164"/>
      <c r="L88" s="164"/>
      <c r="M88" s="170">
        <v>166.20000000000005</v>
      </c>
      <c r="N88" s="164">
        <f t="shared" si="19"/>
        <v>1015.2</v>
      </c>
      <c r="O88" s="170">
        <v>0</v>
      </c>
      <c r="P88" s="170">
        <v>0</v>
      </c>
      <c r="Q88" s="170">
        <v>149</v>
      </c>
      <c r="R88" s="170">
        <v>700</v>
      </c>
      <c r="S88" s="170">
        <v>0</v>
      </c>
      <c r="T88" s="170">
        <v>0</v>
      </c>
      <c r="U88" s="170">
        <v>0</v>
      </c>
      <c r="V88" s="170">
        <v>0</v>
      </c>
      <c r="W88" s="170">
        <v>166.20000000000005</v>
      </c>
      <c r="X88" s="164">
        <f t="shared" si="20"/>
        <v>1015.2</v>
      </c>
      <c r="Y88" s="164"/>
      <c r="Z88" s="164"/>
      <c r="AA88" s="164">
        <v>149</v>
      </c>
      <c r="AB88" s="164">
        <v>700</v>
      </c>
      <c r="AC88" s="164"/>
      <c r="AD88" s="164"/>
      <c r="AE88" s="164"/>
      <c r="AF88" s="164"/>
      <c r="AG88" s="164">
        <v>166.20000000000005</v>
      </c>
      <c r="AH88" s="164">
        <f t="shared" si="16"/>
        <v>0</v>
      </c>
      <c r="AI88" s="164">
        <f t="shared" si="17"/>
        <v>83.628841607565008</v>
      </c>
      <c r="AJ88" s="163">
        <v>60</v>
      </c>
      <c r="AK88" s="163">
        <v>80</v>
      </c>
    </row>
    <row r="89" spans="1:37" s="161" customFormat="1" ht="12">
      <c r="A89" s="168"/>
      <c r="B89" s="249" t="s">
        <v>266</v>
      </c>
      <c r="C89" s="160">
        <f t="shared" ref="C89:AG89" si="21">SUM(C90:C98)</f>
        <v>4777.8629999999994</v>
      </c>
      <c r="D89" s="160">
        <f t="shared" si="21"/>
        <v>3412.3</v>
      </c>
      <c r="E89" s="160">
        <f t="shared" si="21"/>
        <v>690</v>
      </c>
      <c r="F89" s="160">
        <f t="shared" si="21"/>
        <v>0</v>
      </c>
      <c r="G89" s="160">
        <f t="shared" si="21"/>
        <v>1103.25</v>
      </c>
      <c r="H89" s="160">
        <f t="shared" si="21"/>
        <v>1435.05</v>
      </c>
      <c r="I89" s="160">
        <f t="shared" si="21"/>
        <v>0</v>
      </c>
      <c r="J89" s="160">
        <f t="shared" si="21"/>
        <v>0</v>
      </c>
      <c r="K89" s="160">
        <f t="shared" si="21"/>
        <v>0</v>
      </c>
      <c r="L89" s="160">
        <f t="shared" si="21"/>
        <v>0</v>
      </c>
      <c r="M89" s="160">
        <f t="shared" si="21"/>
        <v>184</v>
      </c>
      <c r="N89" s="160">
        <f t="shared" si="21"/>
        <v>3412.3</v>
      </c>
      <c r="O89" s="160">
        <f t="shared" si="21"/>
        <v>690</v>
      </c>
      <c r="P89" s="160">
        <f t="shared" si="21"/>
        <v>0</v>
      </c>
      <c r="Q89" s="160">
        <f t="shared" si="21"/>
        <v>1103.25</v>
      </c>
      <c r="R89" s="160">
        <f t="shared" si="21"/>
        <v>1435.05</v>
      </c>
      <c r="S89" s="160">
        <f t="shared" si="21"/>
        <v>0</v>
      </c>
      <c r="T89" s="160">
        <f t="shared" si="21"/>
        <v>0</v>
      </c>
      <c r="U89" s="160">
        <f t="shared" si="21"/>
        <v>0</v>
      </c>
      <c r="V89" s="160">
        <f t="shared" si="21"/>
        <v>0</v>
      </c>
      <c r="W89" s="160">
        <f t="shared" si="21"/>
        <v>184</v>
      </c>
      <c r="X89" s="160">
        <f t="shared" si="21"/>
        <v>3412.3</v>
      </c>
      <c r="Y89" s="160">
        <f t="shared" si="21"/>
        <v>690</v>
      </c>
      <c r="Z89" s="160">
        <f t="shared" si="21"/>
        <v>0</v>
      </c>
      <c r="AA89" s="160">
        <f t="shared" si="21"/>
        <v>1103.25</v>
      </c>
      <c r="AB89" s="160">
        <f t="shared" si="21"/>
        <v>1435.05</v>
      </c>
      <c r="AC89" s="160">
        <f t="shared" si="21"/>
        <v>0</v>
      </c>
      <c r="AD89" s="160">
        <f t="shared" si="21"/>
        <v>0</v>
      </c>
      <c r="AE89" s="160">
        <f t="shared" si="21"/>
        <v>0</v>
      </c>
      <c r="AF89" s="160">
        <f t="shared" si="21"/>
        <v>0</v>
      </c>
      <c r="AG89" s="160">
        <f t="shared" si="21"/>
        <v>184</v>
      </c>
      <c r="AH89" s="160"/>
      <c r="AI89" s="160"/>
      <c r="AJ89" s="160"/>
      <c r="AK89" s="160"/>
    </row>
    <row r="90" spans="1:37" s="144" customFormat="1" ht="24">
      <c r="A90" s="164">
        <v>1</v>
      </c>
      <c r="B90" s="150" t="s">
        <v>304</v>
      </c>
      <c r="C90" s="164">
        <v>364.1</v>
      </c>
      <c r="D90" s="164">
        <f t="shared" si="18"/>
        <v>171.75</v>
      </c>
      <c r="E90" s="170">
        <v>0</v>
      </c>
      <c r="F90" s="170">
        <v>0</v>
      </c>
      <c r="G90" s="170">
        <v>0</v>
      </c>
      <c r="H90" s="170">
        <v>171.75</v>
      </c>
      <c r="I90" s="164"/>
      <c r="J90" s="164"/>
      <c r="K90" s="164"/>
      <c r="L90" s="164"/>
      <c r="M90" s="170">
        <v>0</v>
      </c>
      <c r="N90" s="164">
        <f t="shared" si="19"/>
        <v>171.75</v>
      </c>
      <c r="O90" s="164">
        <v>0</v>
      </c>
      <c r="P90" s="170">
        <v>0</v>
      </c>
      <c r="Q90" s="170">
        <v>0</v>
      </c>
      <c r="R90" s="170">
        <v>171.75</v>
      </c>
      <c r="S90" s="170">
        <v>0</v>
      </c>
      <c r="T90" s="170">
        <v>0</v>
      </c>
      <c r="U90" s="170">
        <v>0</v>
      </c>
      <c r="V90" s="170">
        <v>0</v>
      </c>
      <c r="W90" s="170">
        <v>0</v>
      </c>
      <c r="X90" s="164">
        <f t="shared" si="20"/>
        <v>171.75</v>
      </c>
      <c r="Y90" s="164"/>
      <c r="Z90" s="164"/>
      <c r="AA90" s="164"/>
      <c r="AB90" s="164">
        <v>171.75</v>
      </c>
      <c r="AC90" s="164"/>
      <c r="AD90" s="164"/>
      <c r="AE90" s="164"/>
      <c r="AF90" s="164"/>
      <c r="AG90" s="164"/>
      <c r="AH90" s="164">
        <f t="shared" si="16"/>
        <v>0</v>
      </c>
      <c r="AI90" s="164">
        <f t="shared" si="17"/>
        <v>47.171106838780553</v>
      </c>
      <c r="AJ90" s="163">
        <v>60</v>
      </c>
      <c r="AK90" s="163">
        <v>80</v>
      </c>
    </row>
    <row r="91" spans="1:37" s="144" customFormat="1" ht="24">
      <c r="A91" s="164">
        <v>2</v>
      </c>
      <c r="B91" s="254" t="s">
        <v>306</v>
      </c>
      <c r="C91" s="164">
        <v>298.64999999999998</v>
      </c>
      <c r="D91" s="164">
        <f t="shared" si="18"/>
        <v>298.25</v>
      </c>
      <c r="E91" s="170">
        <v>0</v>
      </c>
      <c r="F91" s="170">
        <v>0</v>
      </c>
      <c r="G91" s="170">
        <v>33.25</v>
      </c>
      <c r="H91" s="170">
        <v>265</v>
      </c>
      <c r="I91" s="164"/>
      <c r="J91" s="164"/>
      <c r="K91" s="164"/>
      <c r="L91" s="164"/>
      <c r="M91" s="170">
        <v>0</v>
      </c>
      <c r="N91" s="164">
        <f t="shared" si="19"/>
        <v>298.25</v>
      </c>
      <c r="O91" s="170">
        <v>0</v>
      </c>
      <c r="P91" s="170">
        <v>0</v>
      </c>
      <c r="Q91" s="170">
        <v>33.25</v>
      </c>
      <c r="R91" s="170">
        <v>265</v>
      </c>
      <c r="S91" s="170">
        <v>0</v>
      </c>
      <c r="T91" s="170">
        <v>0</v>
      </c>
      <c r="U91" s="170">
        <v>0</v>
      </c>
      <c r="V91" s="170">
        <v>0</v>
      </c>
      <c r="W91" s="170">
        <v>0</v>
      </c>
      <c r="X91" s="164">
        <f t="shared" si="20"/>
        <v>298.25</v>
      </c>
      <c r="Y91" s="164"/>
      <c r="Z91" s="164"/>
      <c r="AA91" s="164">
        <v>33.25</v>
      </c>
      <c r="AB91" s="164">
        <v>265</v>
      </c>
      <c r="AC91" s="164"/>
      <c r="AD91" s="164"/>
      <c r="AE91" s="164"/>
      <c r="AF91" s="164"/>
      <c r="AG91" s="164"/>
      <c r="AH91" s="164">
        <f t="shared" si="16"/>
        <v>0</v>
      </c>
      <c r="AI91" s="164">
        <f t="shared" si="17"/>
        <v>99.866063954461751</v>
      </c>
      <c r="AJ91" s="163">
        <v>65</v>
      </c>
      <c r="AK91" s="163">
        <v>70</v>
      </c>
    </row>
    <row r="92" spans="1:37" s="144" customFormat="1" ht="36">
      <c r="A92" s="164">
        <v>3</v>
      </c>
      <c r="B92" s="150" t="s">
        <v>307</v>
      </c>
      <c r="C92" s="164">
        <v>631</v>
      </c>
      <c r="D92" s="164">
        <f t="shared" si="18"/>
        <v>347</v>
      </c>
      <c r="E92" s="170">
        <v>0</v>
      </c>
      <c r="F92" s="170">
        <v>0</v>
      </c>
      <c r="G92" s="170">
        <v>347</v>
      </c>
      <c r="H92" s="170">
        <v>0</v>
      </c>
      <c r="I92" s="164"/>
      <c r="J92" s="164"/>
      <c r="K92" s="164"/>
      <c r="L92" s="164"/>
      <c r="M92" s="170">
        <v>0</v>
      </c>
      <c r="N92" s="164">
        <f t="shared" si="19"/>
        <v>347</v>
      </c>
      <c r="O92" s="170">
        <v>0</v>
      </c>
      <c r="P92" s="170">
        <v>0</v>
      </c>
      <c r="Q92" s="170">
        <v>347</v>
      </c>
      <c r="R92" s="170">
        <v>0</v>
      </c>
      <c r="S92" s="170">
        <v>0</v>
      </c>
      <c r="T92" s="170">
        <v>0</v>
      </c>
      <c r="U92" s="170">
        <v>0</v>
      </c>
      <c r="V92" s="170">
        <v>0</v>
      </c>
      <c r="W92" s="170">
        <v>0</v>
      </c>
      <c r="X92" s="164">
        <f t="shared" si="20"/>
        <v>347</v>
      </c>
      <c r="Y92" s="164"/>
      <c r="Z92" s="164"/>
      <c r="AA92" s="164">
        <v>347</v>
      </c>
      <c r="AB92" s="164"/>
      <c r="AC92" s="164"/>
      <c r="AD92" s="164"/>
      <c r="AE92" s="164"/>
      <c r="AF92" s="164"/>
      <c r="AG92" s="164"/>
      <c r="AH92" s="164">
        <f t="shared" si="16"/>
        <v>0</v>
      </c>
      <c r="AI92" s="164">
        <f t="shared" si="17"/>
        <v>54.992076069730587</v>
      </c>
      <c r="AJ92" s="163">
        <v>60</v>
      </c>
      <c r="AK92" s="163">
        <v>80</v>
      </c>
    </row>
    <row r="93" spans="1:37" s="144" customFormat="1" ht="36">
      <c r="A93" s="164">
        <v>4</v>
      </c>
      <c r="B93" s="150" t="s">
        <v>308</v>
      </c>
      <c r="C93" s="164">
        <v>543</v>
      </c>
      <c r="D93" s="164">
        <f t="shared" si="18"/>
        <v>498.3</v>
      </c>
      <c r="E93" s="170">
        <v>0</v>
      </c>
      <c r="F93" s="170">
        <v>0</v>
      </c>
      <c r="G93" s="170">
        <v>0</v>
      </c>
      <c r="H93" s="170">
        <v>498.3</v>
      </c>
      <c r="I93" s="164"/>
      <c r="J93" s="164"/>
      <c r="K93" s="164"/>
      <c r="L93" s="164"/>
      <c r="M93" s="170">
        <v>0</v>
      </c>
      <c r="N93" s="164">
        <f t="shared" si="19"/>
        <v>498.3</v>
      </c>
      <c r="O93" s="170">
        <v>0</v>
      </c>
      <c r="P93" s="170">
        <v>0</v>
      </c>
      <c r="Q93" s="170">
        <v>0</v>
      </c>
      <c r="R93" s="170">
        <v>498.3</v>
      </c>
      <c r="S93" s="170">
        <v>0</v>
      </c>
      <c r="T93" s="170">
        <v>0</v>
      </c>
      <c r="U93" s="170">
        <v>0</v>
      </c>
      <c r="V93" s="170">
        <v>0</v>
      </c>
      <c r="W93" s="170">
        <v>0</v>
      </c>
      <c r="X93" s="164">
        <f t="shared" si="20"/>
        <v>498.3</v>
      </c>
      <c r="Y93" s="164"/>
      <c r="Z93" s="164"/>
      <c r="AA93" s="164"/>
      <c r="AB93" s="164">
        <v>498.3</v>
      </c>
      <c r="AC93" s="164"/>
      <c r="AD93" s="164"/>
      <c r="AE93" s="164"/>
      <c r="AF93" s="164"/>
      <c r="AG93" s="164"/>
      <c r="AH93" s="164">
        <f t="shared" si="16"/>
        <v>0</v>
      </c>
      <c r="AI93" s="164">
        <f t="shared" si="17"/>
        <v>91.767955801104975</v>
      </c>
      <c r="AJ93" s="163">
        <v>60</v>
      </c>
      <c r="AK93" s="163">
        <v>80</v>
      </c>
    </row>
    <row r="94" spans="1:37" s="144" customFormat="1" ht="36">
      <c r="A94" s="164">
        <v>5</v>
      </c>
      <c r="B94" s="150" t="s">
        <v>309</v>
      </c>
      <c r="C94" s="164">
        <v>230.886</v>
      </c>
      <c r="D94" s="164">
        <f t="shared" si="18"/>
        <v>173</v>
      </c>
      <c r="E94" s="170">
        <v>0</v>
      </c>
      <c r="F94" s="170">
        <v>0</v>
      </c>
      <c r="G94" s="170">
        <v>173</v>
      </c>
      <c r="H94" s="170">
        <v>0</v>
      </c>
      <c r="I94" s="164"/>
      <c r="J94" s="164"/>
      <c r="K94" s="164"/>
      <c r="L94" s="164"/>
      <c r="M94" s="170">
        <v>0</v>
      </c>
      <c r="N94" s="164">
        <f t="shared" si="19"/>
        <v>173</v>
      </c>
      <c r="O94" s="170">
        <v>0</v>
      </c>
      <c r="P94" s="170">
        <v>0</v>
      </c>
      <c r="Q94" s="170">
        <v>173</v>
      </c>
      <c r="R94" s="170">
        <v>0</v>
      </c>
      <c r="S94" s="170">
        <v>0</v>
      </c>
      <c r="T94" s="170">
        <v>0</v>
      </c>
      <c r="U94" s="170">
        <v>0</v>
      </c>
      <c r="V94" s="170">
        <v>0</v>
      </c>
      <c r="W94" s="170">
        <v>0</v>
      </c>
      <c r="X94" s="164">
        <f t="shared" si="20"/>
        <v>173</v>
      </c>
      <c r="Y94" s="164"/>
      <c r="Z94" s="164"/>
      <c r="AA94" s="164">
        <v>173</v>
      </c>
      <c r="AB94" s="164"/>
      <c r="AC94" s="164"/>
      <c r="AD94" s="164"/>
      <c r="AE94" s="164"/>
      <c r="AF94" s="164"/>
      <c r="AG94" s="164"/>
      <c r="AH94" s="164">
        <f t="shared" si="16"/>
        <v>0</v>
      </c>
      <c r="AI94" s="164">
        <f t="shared" si="17"/>
        <v>74.928752717791468</v>
      </c>
      <c r="AJ94" s="163">
        <v>40</v>
      </c>
      <c r="AK94" s="163">
        <v>70</v>
      </c>
    </row>
    <row r="95" spans="1:37" s="144" customFormat="1" ht="36">
      <c r="A95" s="164">
        <v>6</v>
      </c>
      <c r="B95" s="150" t="s">
        <v>310</v>
      </c>
      <c r="C95" s="164">
        <v>265</v>
      </c>
      <c r="D95" s="164">
        <f t="shared" si="18"/>
        <v>210</v>
      </c>
      <c r="E95" s="170">
        <v>0</v>
      </c>
      <c r="F95" s="170">
        <v>0</v>
      </c>
      <c r="G95" s="170">
        <v>210</v>
      </c>
      <c r="H95" s="170">
        <v>0</v>
      </c>
      <c r="I95" s="164"/>
      <c r="J95" s="164"/>
      <c r="K95" s="164"/>
      <c r="L95" s="164"/>
      <c r="M95" s="170">
        <v>0</v>
      </c>
      <c r="N95" s="164">
        <f t="shared" si="19"/>
        <v>210</v>
      </c>
      <c r="O95" s="170">
        <v>0</v>
      </c>
      <c r="P95" s="170">
        <v>0</v>
      </c>
      <c r="Q95" s="170">
        <v>210</v>
      </c>
      <c r="R95" s="170">
        <v>0</v>
      </c>
      <c r="S95" s="170">
        <v>0</v>
      </c>
      <c r="T95" s="170">
        <v>0</v>
      </c>
      <c r="U95" s="170">
        <v>0</v>
      </c>
      <c r="V95" s="170">
        <v>0</v>
      </c>
      <c r="W95" s="170">
        <v>0</v>
      </c>
      <c r="X95" s="164">
        <f t="shared" si="20"/>
        <v>210</v>
      </c>
      <c r="Y95" s="164"/>
      <c r="Z95" s="164"/>
      <c r="AA95" s="164">
        <v>210</v>
      </c>
      <c r="AB95" s="164"/>
      <c r="AC95" s="164"/>
      <c r="AD95" s="164"/>
      <c r="AE95" s="164"/>
      <c r="AF95" s="164"/>
      <c r="AG95" s="164"/>
      <c r="AH95" s="164">
        <f t="shared" si="16"/>
        <v>0</v>
      </c>
      <c r="AI95" s="164">
        <f t="shared" si="17"/>
        <v>79.245283018867923</v>
      </c>
      <c r="AJ95" s="163">
        <v>60</v>
      </c>
      <c r="AK95" s="163">
        <v>80</v>
      </c>
    </row>
    <row r="96" spans="1:37" s="144" customFormat="1" ht="24">
      <c r="A96" s="164">
        <v>7</v>
      </c>
      <c r="B96" s="150" t="s">
        <v>311</v>
      </c>
      <c r="C96" s="164">
        <v>1449.6</v>
      </c>
      <c r="D96" s="164">
        <f t="shared" si="18"/>
        <v>770</v>
      </c>
      <c r="E96" s="170">
        <v>690</v>
      </c>
      <c r="F96" s="170">
        <v>0</v>
      </c>
      <c r="G96" s="170">
        <v>80</v>
      </c>
      <c r="H96" s="170">
        <v>0</v>
      </c>
      <c r="I96" s="164"/>
      <c r="J96" s="164"/>
      <c r="K96" s="164"/>
      <c r="L96" s="164"/>
      <c r="M96" s="170">
        <v>0</v>
      </c>
      <c r="N96" s="164">
        <f t="shared" si="19"/>
        <v>770</v>
      </c>
      <c r="O96" s="170">
        <v>690</v>
      </c>
      <c r="P96" s="170">
        <v>0</v>
      </c>
      <c r="Q96" s="170">
        <v>80</v>
      </c>
      <c r="R96" s="170">
        <v>0</v>
      </c>
      <c r="S96" s="170">
        <v>0</v>
      </c>
      <c r="T96" s="170">
        <v>0</v>
      </c>
      <c r="U96" s="170">
        <v>0</v>
      </c>
      <c r="V96" s="170">
        <v>0</v>
      </c>
      <c r="W96" s="170">
        <v>0</v>
      </c>
      <c r="X96" s="164">
        <f t="shared" si="20"/>
        <v>770</v>
      </c>
      <c r="Y96" s="164">
        <v>690</v>
      </c>
      <c r="Z96" s="164"/>
      <c r="AA96" s="164">
        <v>80</v>
      </c>
      <c r="AB96" s="164"/>
      <c r="AC96" s="164"/>
      <c r="AD96" s="164"/>
      <c r="AE96" s="164"/>
      <c r="AF96" s="164"/>
      <c r="AG96" s="164"/>
      <c r="AH96" s="164">
        <f t="shared" si="16"/>
        <v>47.599337748344375</v>
      </c>
      <c r="AI96" s="164">
        <f t="shared" si="17"/>
        <v>53.118101545253872</v>
      </c>
      <c r="AJ96" s="163">
        <v>60</v>
      </c>
      <c r="AK96" s="163">
        <v>80</v>
      </c>
    </row>
    <row r="97" spans="1:37" s="144" customFormat="1" ht="24">
      <c r="A97" s="164">
        <v>8</v>
      </c>
      <c r="B97" s="254" t="s">
        <v>312</v>
      </c>
      <c r="C97" s="164">
        <v>902.09699999999998</v>
      </c>
      <c r="D97" s="164">
        <f t="shared" si="18"/>
        <v>856</v>
      </c>
      <c r="E97" s="170">
        <v>0</v>
      </c>
      <c r="F97" s="170">
        <v>0</v>
      </c>
      <c r="G97" s="170">
        <v>200</v>
      </c>
      <c r="H97" s="170">
        <v>500</v>
      </c>
      <c r="I97" s="164"/>
      <c r="J97" s="164"/>
      <c r="K97" s="164"/>
      <c r="L97" s="164"/>
      <c r="M97" s="170">
        <v>156</v>
      </c>
      <c r="N97" s="164">
        <f t="shared" si="19"/>
        <v>856</v>
      </c>
      <c r="O97" s="170">
        <v>0</v>
      </c>
      <c r="P97" s="170">
        <v>0</v>
      </c>
      <c r="Q97" s="170">
        <v>200</v>
      </c>
      <c r="R97" s="170">
        <v>500</v>
      </c>
      <c r="S97" s="170">
        <v>0</v>
      </c>
      <c r="T97" s="170">
        <v>0</v>
      </c>
      <c r="U97" s="170">
        <v>0</v>
      </c>
      <c r="V97" s="170">
        <v>0</v>
      </c>
      <c r="W97" s="170">
        <v>156</v>
      </c>
      <c r="X97" s="164">
        <f t="shared" si="20"/>
        <v>856</v>
      </c>
      <c r="Y97" s="164"/>
      <c r="Z97" s="164"/>
      <c r="AA97" s="164">
        <v>200</v>
      </c>
      <c r="AB97" s="164">
        <v>500</v>
      </c>
      <c r="AC97" s="164"/>
      <c r="AD97" s="164"/>
      <c r="AE97" s="164"/>
      <c r="AF97" s="164"/>
      <c r="AG97" s="164">
        <v>156</v>
      </c>
      <c r="AH97" s="164">
        <f t="shared" si="16"/>
        <v>0</v>
      </c>
      <c r="AI97" s="164">
        <f t="shared" si="17"/>
        <v>77.596976821783031</v>
      </c>
      <c r="AJ97" s="163">
        <v>60</v>
      </c>
      <c r="AK97" s="163">
        <v>80</v>
      </c>
    </row>
    <row r="98" spans="1:37" s="144" customFormat="1" ht="24">
      <c r="A98" s="164">
        <v>9</v>
      </c>
      <c r="B98" s="254" t="s">
        <v>313</v>
      </c>
      <c r="C98" s="164">
        <v>93.53</v>
      </c>
      <c r="D98" s="164">
        <f t="shared" si="18"/>
        <v>88</v>
      </c>
      <c r="E98" s="170">
        <v>0</v>
      </c>
      <c r="F98" s="170">
        <v>0</v>
      </c>
      <c r="G98" s="170">
        <v>60</v>
      </c>
      <c r="H98" s="170">
        <v>0</v>
      </c>
      <c r="I98" s="164"/>
      <c r="J98" s="164"/>
      <c r="K98" s="164"/>
      <c r="L98" s="164"/>
      <c r="M98" s="170">
        <v>28</v>
      </c>
      <c r="N98" s="164">
        <f t="shared" si="19"/>
        <v>88</v>
      </c>
      <c r="O98" s="170">
        <v>0</v>
      </c>
      <c r="P98" s="170">
        <v>0</v>
      </c>
      <c r="Q98" s="170">
        <v>60</v>
      </c>
      <c r="R98" s="170">
        <v>0</v>
      </c>
      <c r="S98" s="170">
        <v>0</v>
      </c>
      <c r="T98" s="170">
        <v>0</v>
      </c>
      <c r="U98" s="170">
        <v>0</v>
      </c>
      <c r="V98" s="170">
        <v>0</v>
      </c>
      <c r="W98" s="170">
        <v>28</v>
      </c>
      <c r="X98" s="164">
        <f t="shared" si="20"/>
        <v>88</v>
      </c>
      <c r="Y98" s="164"/>
      <c r="Z98" s="164"/>
      <c r="AA98" s="164">
        <v>60</v>
      </c>
      <c r="AB98" s="164"/>
      <c r="AC98" s="164"/>
      <c r="AD98" s="164"/>
      <c r="AE98" s="164"/>
      <c r="AF98" s="164"/>
      <c r="AG98" s="164">
        <v>28</v>
      </c>
      <c r="AH98" s="164">
        <f t="shared" si="16"/>
        <v>0</v>
      </c>
      <c r="AI98" s="164">
        <f t="shared" si="17"/>
        <v>64.150539933711102</v>
      </c>
      <c r="AJ98" s="163">
        <v>60</v>
      </c>
      <c r="AK98" s="163">
        <v>80</v>
      </c>
    </row>
  </sheetData>
  <autoFilter ref="A10:AK98"/>
  <mergeCells count="27">
    <mergeCell ref="S7:V8"/>
    <mergeCell ref="O7:R8"/>
    <mergeCell ref="E7:H8"/>
    <mergeCell ref="I7:L8"/>
    <mergeCell ref="M7:M9"/>
    <mergeCell ref="AJ8:AJ9"/>
    <mergeCell ref="AK8:AK9"/>
    <mergeCell ref="W7:W9"/>
    <mergeCell ref="AJ6:AK7"/>
    <mergeCell ref="AC7:AF8"/>
    <mergeCell ref="Y7:AB8"/>
    <mergeCell ref="A3:AK3"/>
    <mergeCell ref="A4:AK4"/>
    <mergeCell ref="AI5:AK5"/>
    <mergeCell ref="N6:W6"/>
    <mergeCell ref="AH6:AI7"/>
    <mergeCell ref="X6:AG6"/>
    <mergeCell ref="X7:X9"/>
    <mergeCell ref="AG7:AG9"/>
    <mergeCell ref="AH8:AH9"/>
    <mergeCell ref="AI8:AI9"/>
    <mergeCell ref="A6:A9"/>
    <mergeCell ref="B6:B9"/>
    <mergeCell ref="C6:C9"/>
    <mergeCell ref="N7:N9"/>
    <mergeCell ref="D6:M6"/>
    <mergeCell ref="D7:D9"/>
  </mergeCells>
  <printOptions horizontalCentered="1"/>
  <pageMargins left="0" right="0" top="0.35433070866141703" bottom="0.40748031499999998" header="0.118110236220472" footer="0.118110236220472"/>
  <pageSetup paperSize="9" scale="65" orientation="landscape" verticalDpi="2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46"/>
  <sheetViews>
    <sheetView tabSelected="1" zoomScaleNormal="100" workbookViewId="0">
      <pane xSplit="2" ySplit="9" topLeftCell="C31" activePane="bottomRight" state="frozen"/>
      <selection pane="topRight" activeCell="C1" sqref="C1"/>
      <selection pane="bottomLeft" activeCell="A9" sqref="A9"/>
      <selection pane="bottomRight" activeCell="N40" sqref="N40"/>
    </sheetView>
  </sheetViews>
  <sheetFormatPr defaultRowHeight="15.6"/>
  <cols>
    <col min="1" max="1" width="4" style="34" customWidth="1"/>
    <col min="2" max="2" width="18.69921875" style="34" customWidth="1"/>
    <col min="3" max="3" width="14.796875" style="356" bestFit="1" customWidth="1"/>
    <col min="4" max="4" width="5.796875" style="356" bestFit="1" customWidth="1"/>
    <col min="5" max="6" width="11.09765625" style="356" customWidth="1"/>
    <col min="7" max="7" width="12" style="356" customWidth="1"/>
    <col min="8" max="8" width="11.796875" style="356" customWidth="1"/>
    <col min="9" max="12" width="6.09765625" style="356" hidden="1" customWidth="1"/>
    <col min="13" max="13" width="11.796875" style="356" customWidth="1"/>
    <col min="14" max="14" width="12" style="356" bestFit="1" customWidth="1"/>
    <col min="15" max="17" width="11.09765625" style="356" customWidth="1"/>
    <col min="18" max="18" width="12.3984375" style="356" customWidth="1"/>
    <col min="19" max="22" width="6.09765625" style="34" hidden="1" customWidth="1"/>
    <col min="23" max="23" width="7.59765625" style="34" customWidth="1"/>
    <col min="24" max="27" width="6" style="34" customWidth="1"/>
    <col min="28" max="259" width="9" style="34"/>
    <col min="260" max="260" width="5.69921875" style="34" customWidth="1"/>
    <col min="261" max="261" width="40.69921875" style="34" customWidth="1"/>
    <col min="262" max="262" width="17.69921875" style="34" customWidth="1"/>
    <col min="263" max="263" width="22.19921875" style="34" customWidth="1"/>
    <col min="264" max="515" width="9" style="34"/>
    <col min="516" max="516" width="5.69921875" style="34" customWidth="1"/>
    <col min="517" max="517" width="40.69921875" style="34" customWidth="1"/>
    <col min="518" max="518" width="17.69921875" style="34" customWidth="1"/>
    <col min="519" max="519" width="22.19921875" style="34" customWidth="1"/>
    <col min="520" max="771" width="9" style="34"/>
    <col min="772" max="772" width="5.69921875" style="34" customWidth="1"/>
    <col min="773" max="773" width="40.69921875" style="34" customWidth="1"/>
    <col min="774" max="774" width="17.69921875" style="34" customWidth="1"/>
    <col min="775" max="775" width="22.19921875" style="34" customWidth="1"/>
    <col min="776" max="1027" width="9" style="34"/>
    <col min="1028" max="1028" width="5.69921875" style="34" customWidth="1"/>
    <col min="1029" max="1029" width="40.69921875" style="34" customWidth="1"/>
    <col min="1030" max="1030" width="17.69921875" style="34" customWidth="1"/>
    <col min="1031" max="1031" width="22.19921875" style="34" customWidth="1"/>
    <col min="1032" max="1283" width="9" style="34"/>
    <col min="1284" max="1284" width="5.69921875" style="34" customWidth="1"/>
    <col min="1285" max="1285" width="40.69921875" style="34" customWidth="1"/>
    <col min="1286" max="1286" width="17.69921875" style="34" customWidth="1"/>
    <col min="1287" max="1287" width="22.19921875" style="34" customWidth="1"/>
    <col min="1288" max="1539" width="9" style="34"/>
    <col min="1540" max="1540" width="5.69921875" style="34" customWidth="1"/>
    <col min="1541" max="1541" width="40.69921875" style="34" customWidth="1"/>
    <col min="1542" max="1542" width="17.69921875" style="34" customWidth="1"/>
    <col min="1543" max="1543" width="22.19921875" style="34" customWidth="1"/>
    <col min="1544" max="1795" width="9" style="34"/>
    <col min="1796" max="1796" width="5.69921875" style="34" customWidth="1"/>
    <col min="1797" max="1797" width="40.69921875" style="34" customWidth="1"/>
    <col min="1798" max="1798" width="17.69921875" style="34" customWidth="1"/>
    <col min="1799" max="1799" width="22.19921875" style="34" customWidth="1"/>
    <col min="1800" max="2051" width="9" style="34"/>
    <col min="2052" max="2052" width="5.69921875" style="34" customWidth="1"/>
    <col min="2053" max="2053" width="40.69921875" style="34" customWidth="1"/>
    <col min="2054" max="2054" width="17.69921875" style="34" customWidth="1"/>
    <col min="2055" max="2055" width="22.19921875" style="34" customWidth="1"/>
    <col min="2056" max="2307" width="9" style="34"/>
    <col min="2308" max="2308" width="5.69921875" style="34" customWidth="1"/>
    <col min="2309" max="2309" width="40.69921875" style="34" customWidth="1"/>
    <col min="2310" max="2310" width="17.69921875" style="34" customWidth="1"/>
    <col min="2311" max="2311" width="22.19921875" style="34" customWidth="1"/>
    <col min="2312" max="2563" width="9" style="34"/>
    <col min="2564" max="2564" width="5.69921875" style="34" customWidth="1"/>
    <col min="2565" max="2565" width="40.69921875" style="34" customWidth="1"/>
    <col min="2566" max="2566" width="17.69921875" style="34" customWidth="1"/>
    <col min="2567" max="2567" width="22.19921875" style="34" customWidth="1"/>
    <col min="2568" max="2819" width="9" style="34"/>
    <col min="2820" max="2820" width="5.69921875" style="34" customWidth="1"/>
    <col min="2821" max="2821" width="40.69921875" style="34" customWidth="1"/>
    <col min="2822" max="2822" width="17.69921875" style="34" customWidth="1"/>
    <col min="2823" max="2823" width="22.19921875" style="34" customWidth="1"/>
    <col min="2824" max="3075" width="9" style="34"/>
    <col min="3076" max="3076" width="5.69921875" style="34" customWidth="1"/>
    <col min="3077" max="3077" width="40.69921875" style="34" customWidth="1"/>
    <col min="3078" max="3078" width="17.69921875" style="34" customWidth="1"/>
    <col min="3079" max="3079" width="22.19921875" style="34" customWidth="1"/>
    <col min="3080" max="3331" width="9" style="34"/>
    <col min="3332" max="3332" width="5.69921875" style="34" customWidth="1"/>
    <col min="3333" max="3333" width="40.69921875" style="34" customWidth="1"/>
    <col min="3334" max="3334" width="17.69921875" style="34" customWidth="1"/>
    <col min="3335" max="3335" width="22.19921875" style="34" customWidth="1"/>
    <col min="3336" max="3587" width="9" style="34"/>
    <col min="3588" max="3588" width="5.69921875" style="34" customWidth="1"/>
    <col min="3589" max="3589" width="40.69921875" style="34" customWidth="1"/>
    <col min="3590" max="3590" width="17.69921875" style="34" customWidth="1"/>
    <col min="3591" max="3591" width="22.19921875" style="34" customWidth="1"/>
    <col min="3592" max="3843" width="9" style="34"/>
    <col min="3844" max="3844" width="5.69921875" style="34" customWidth="1"/>
    <col min="3845" max="3845" width="40.69921875" style="34" customWidth="1"/>
    <col min="3846" max="3846" width="17.69921875" style="34" customWidth="1"/>
    <col min="3847" max="3847" width="22.19921875" style="34" customWidth="1"/>
    <col min="3848" max="4099" width="9" style="34"/>
    <col min="4100" max="4100" width="5.69921875" style="34" customWidth="1"/>
    <col min="4101" max="4101" width="40.69921875" style="34" customWidth="1"/>
    <col min="4102" max="4102" width="17.69921875" style="34" customWidth="1"/>
    <col min="4103" max="4103" width="22.19921875" style="34" customWidth="1"/>
    <col min="4104" max="4355" width="9" style="34"/>
    <col min="4356" max="4356" width="5.69921875" style="34" customWidth="1"/>
    <col min="4357" max="4357" width="40.69921875" style="34" customWidth="1"/>
    <col min="4358" max="4358" width="17.69921875" style="34" customWidth="1"/>
    <col min="4359" max="4359" width="22.19921875" style="34" customWidth="1"/>
    <col min="4360" max="4611" width="9" style="34"/>
    <col min="4612" max="4612" width="5.69921875" style="34" customWidth="1"/>
    <col min="4613" max="4613" width="40.69921875" style="34" customWidth="1"/>
    <col min="4614" max="4614" width="17.69921875" style="34" customWidth="1"/>
    <col min="4615" max="4615" width="22.19921875" style="34" customWidth="1"/>
    <col min="4616" max="4867" width="9" style="34"/>
    <col min="4868" max="4868" width="5.69921875" style="34" customWidth="1"/>
    <col min="4869" max="4869" width="40.69921875" style="34" customWidth="1"/>
    <col min="4870" max="4870" width="17.69921875" style="34" customWidth="1"/>
    <col min="4871" max="4871" width="22.19921875" style="34" customWidth="1"/>
    <col min="4872" max="5123" width="9" style="34"/>
    <col min="5124" max="5124" width="5.69921875" style="34" customWidth="1"/>
    <col min="5125" max="5125" width="40.69921875" style="34" customWidth="1"/>
    <col min="5126" max="5126" width="17.69921875" style="34" customWidth="1"/>
    <col min="5127" max="5127" width="22.19921875" style="34" customWidth="1"/>
    <col min="5128" max="5379" width="9" style="34"/>
    <col min="5380" max="5380" width="5.69921875" style="34" customWidth="1"/>
    <col min="5381" max="5381" width="40.69921875" style="34" customWidth="1"/>
    <col min="5382" max="5382" width="17.69921875" style="34" customWidth="1"/>
    <col min="5383" max="5383" width="22.19921875" style="34" customWidth="1"/>
    <col min="5384" max="5635" width="9" style="34"/>
    <col min="5636" max="5636" width="5.69921875" style="34" customWidth="1"/>
    <col min="5637" max="5637" width="40.69921875" style="34" customWidth="1"/>
    <col min="5638" max="5638" width="17.69921875" style="34" customWidth="1"/>
    <col min="5639" max="5639" width="22.19921875" style="34" customWidth="1"/>
    <col min="5640" max="5891" width="9" style="34"/>
    <col min="5892" max="5892" width="5.69921875" style="34" customWidth="1"/>
    <col min="5893" max="5893" width="40.69921875" style="34" customWidth="1"/>
    <col min="5894" max="5894" width="17.69921875" style="34" customWidth="1"/>
    <col min="5895" max="5895" width="22.19921875" style="34" customWidth="1"/>
    <col min="5896" max="6147" width="9" style="34"/>
    <col min="6148" max="6148" width="5.69921875" style="34" customWidth="1"/>
    <col min="6149" max="6149" width="40.69921875" style="34" customWidth="1"/>
    <col min="6150" max="6150" width="17.69921875" style="34" customWidth="1"/>
    <col min="6151" max="6151" width="22.19921875" style="34" customWidth="1"/>
    <col min="6152" max="6403" width="9" style="34"/>
    <col min="6404" max="6404" width="5.69921875" style="34" customWidth="1"/>
    <col min="6405" max="6405" width="40.69921875" style="34" customWidth="1"/>
    <col min="6406" max="6406" width="17.69921875" style="34" customWidth="1"/>
    <col min="6407" max="6407" width="22.19921875" style="34" customWidth="1"/>
    <col min="6408" max="6659" width="9" style="34"/>
    <col min="6660" max="6660" width="5.69921875" style="34" customWidth="1"/>
    <col min="6661" max="6661" width="40.69921875" style="34" customWidth="1"/>
    <col min="6662" max="6662" width="17.69921875" style="34" customWidth="1"/>
    <col min="6663" max="6663" width="22.19921875" style="34" customWidth="1"/>
    <col min="6664" max="6915" width="9" style="34"/>
    <col min="6916" max="6916" width="5.69921875" style="34" customWidth="1"/>
    <col min="6917" max="6917" width="40.69921875" style="34" customWidth="1"/>
    <col min="6918" max="6918" width="17.69921875" style="34" customWidth="1"/>
    <col min="6919" max="6919" width="22.19921875" style="34" customWidth="1"/>
    <col min="6920" max="7171" width="9" style="34"/>
    <col min="7172" max="7172" width="5.69921875" style="34" customWidth="1"/>
    <col min="7173" max="7173" width="40.69921875" style="34" customWidth="1"/>
    <col min="7174" max="7174" width="17.69921875" style="34" customWidth="1"/>
    <col min="7175" max="7175" width="22.19921875" style="34" customWidth="1"/>
    <col min="7176" max="7427" width="9" style="34"/>
    <col min="7428" max="7428" width="5.69921875" style="34" customWidth="1"/>
    <col min="7429" max="7429" width="40.69921875" style="34" customWidth="1"/>
    <col min="7430" max="7430" width="17.69921875" style="34" customWidth="1"/>
    <col min="7431" max="7431" width="22.19921875" style="34" customWidth="1"/>
    <col min="7432" max="7683" width="9" style="34"/>
    <col min="7684" max="7684" width="5.69921875" style="34" customWidth="1"/>
    <col min="7685" max="7685" width="40.69921875" style="34" customWidth="1"/>
    <col min="7686" max="7686" width="17.69921875" style="34" customWidth="1"/>
    <col min="7687" max="7687" width="22.19921875" style="34" customWidth="1"/>
    <col min="7688" max="7939" width="9" style="34"/>
    <col min="7940" max="7940" width="5.69921875" style="34" customWidth="1"/>
    <col min="7941" max="7941" width="40.69921875" style="34" customWidth="1"/>
    <col min="7942" max="7942" width="17.69921875" style="34" customWidth="1"/>
    <col min="7943" max="7943" width="22.19921875" style="34" customWidth="1"/>
    <col min="7944" max="8195" width="9" style="34"/>
    <col min="8196" max="8196" width="5.69921875" style="34" customWidth="1"/>
    <col min="8197" max="8197" width="40.69921875" style="34" customWidth="1"/>
    <col min="8198" max="8198" width="17.69921875" style="34" customWidth="1"/>
    <col min="8199" max="8199" width="22.19921875" style="34" customWidth="1"/>
    <col min="8200" max="8451" width="9" style="34"/>
    <col min="8452" max="8452" width="5.69921875" style="34" customWidth="1"/>
    <col min="8453" max="8453" width="40.69921875" style="34" customWidth="1"/>
    <col min="8454" max="8454" width="17.69921875" style="34" customWidth="1"/>
    <col min="8455" max="8455" width="22.19921875" style="34" customWidth="1"/>
    <col min="8456" max="8707" width="9" style="34"/>
    <col min="8708" max="8708" width="5.69921875" style="34" customWidth="1"/>
    <col min="8709" max="8709" width="40.69921875" style="34" customWidth="1"/>
    <col min="8710" max="8710" width="17.69921875" style="34" customWidth="1"/>
    <col min="8711" max="8711" width="22.19921875" style="34" customWidth="1"/>
    <col min="8712" max="8963" width="9" style="34"/>
    <col min="8964" max="8964" width="5.69921875" style="34" customWidth="1"/>
    <col min="8965" max="8965" width="40.69921875" style="34" customWidth="1"/>
    <col min="8966" max="8966" width="17.69921875" style="34" customWidth="1"/>
    <col min="8967" max="8967" width="22.19921875" style="34" customWidth="1"/>
    <col min="8968" max="9219" width="9" style="34"/>
    <col min="9220" max="9220" width="5.69921875" style="34" customWidth="1"/>
    <col min="9221" max="9221" width="40.69921875" style="34" customWidth="1"/>
    <col min="9222" max="9222" width="17.69921875" style="34" customWidth="1"/>
    <col min="9223" max="9223" width="22.19921875" style="34" customWidth="1"/>
    <col min="9224" max="9475" width="9" style="34"/>
    <col min="9476" max="9476" width="5.69921875" style="34" customWidth="1"/>
    <col min="9477" max="9477" width="40.69921875" style="34" customWidth="1"/>
    <col min="9478" max="9478" width="17.69921875" style="34" customWidth="1"/>
    <col min="9479" max="9479" width="22.19921875" style="34" customWidth="1"/>
    <col min="9480" max="9731" width="9" style="34"/>
    <col min="9732" max="9732" width="5.69921875" style="34" customWidth="1"/>
    <col min="9733" max="9733" width="40.69921875" style="34" customWidth="1"/>
    <col min="9734" max="9734" width="17.69921875" style="34" customWidth="1"/>
    <col min="9735" max="9735" width="22.19921875" style="34" customWidth="1"/>
    <col min="9736" max="9987" width="9" style="34"/>
    <col min="9988" max="9988" width="5.69921875" style="34" customWidth="1"/>
    <col min="9989" max="9989" width="40.69921875" style="34" customWidth="1"/>
    <col min="9990" max="9990" width="17.69921875" style="34" customWidth="1"/>
    <col min="9991" max="9991" width="22.19921875" style="34" customWidth="1"/>
    <col min="9992" max="10243" width="9" style="34"/>
    <col min="10244" max="10244" width="5.69921875" style="34" customWidth="1"/>
    <col min="10245" max="10245" width="40.69921875" style="34" customWidth="1"/>
    <col min="10246" max="10246" width="17.69921875" style="34" customWidth="1"/>
    <col min="10247" max="10247" width="22.19921875" style="34" customWidth="1"/>
    <col min="10248" max="10499" width="9" style="34"/>
    <col min="10500" max="10500" width="5.69921875" style="34" customWidth="1"/>
    <col min="10501" max="10501" width="40.69921875" style="34" customWidth="1"/>
    <col min="10502" max="10502" width="17.69921875" style="34" customWidth="1"/>
    <col min="10503" max="10503" width="22.19921875" style="34" customWidth="1"/>
    <col min="10504" max="10755" width="9" style="34"/>
    <col min="10756" max="10756" width="5.69921875" style="34" customWidth="1"/>
    <col min="10757" max="10757" width="40.69921875" style="34" customWidth="1"/>
    <col min="10758" max="10758" width="17.69921875" style="34" customWidth="1"/>
    <col min="10759" max="10759" width="22.19921875" style="34" customWidth="1"/>
    <col min="10760" max="11011" width="9" style="34"/>
    <col min="11012" max="11012" width="5.69921875" style="34" customWidth="1"/>
    <col min="11013" max="11013" width="40.69921875" style="34" customWidth="1"/>
    <col min="11014" max="11014" width="17.69921875" style="34" customWidth="1"/>
    <col min="11015" max="11015" width="22.19921875" style="34" customWidth="1"/>
    <col min="11016" max="11267" width="9" style="34"/>
    <col min="11268" max="11268" width="5.69921875" style="34" customWidth="1"/>
    <col min="11269" max="11269" width="40.69921875" style="34" customWidth="1"/>
    <col min="11270" max="11270" width="17.69921875" style="34" customWidth="1"/>
    <col min="11271" max="11271" width="22.19921875" style="34" customWidth="1"/>
    <col min="11272" max="11523" width="9" style="34"/>
    <col min="11524" max="11524" width="5.69921875" style="34" customWidth="1"/>
    <col min="11525" max="11525" width="40.69921875" style="34" customWidth="1"/>
    <col min="11526" max="11526" width="17.69921875" style="34" customWidth="1"/>
    <col min="11527" max="11527" width="22.19921875" style="34" customWidth="1"/>
    <col min="11528" max="11779" width="9" style="34"/>
    <col min="11780" max="11780" width="5.69921875" style="34" customWidth="1"/>
    <col min="11781" max="11781" width="40.69921875" style="34" customWidth="1"/>
    <col min="11782" max="11782" width="17.69921875" style="34" customWidth="1"/>
    <col min="11783" max="11783" width="22.19921875" style="34" customWidth="1"/>
    <col min="11784" max="12035" width="9" style="34"/>
    <col min="12036" max="12036" width="5.69921875" style="34" customWidth="1"/>
    <col min="12037" max="12037" width="40.69921875" style="34" customWidth="1"/>
    <col min="12038" max="12038" width="17.69921875" style="34" customWidth="1"/>
    <col min="12039" max="12039" width="22.19921875" style="34" customWidth="1"/>
    <col min="12040" max="12291" width="9" style="34"/>
    <col min="12292" max="12292" width="5.69921875" style="34" customWidth="1"/>
    <col min="12293" max="12293" width="40.69921875" style="34" customWidth="1"/>
    <col min="12294" max="12294" width="17.69921875" style="34" customWidth="1"/>
    <col min="12295" max="12295" width="22.19921875" style="34" customWidth="1"/>
    <col min="12296" max="12547" width="9" style="34"/>
    <col min="12548" max="12548" width="5.69921875" style="34" customWidth="1"/>
    <col min="12549" max="12549" width="40.69921875" style="34" customWidth="1"/>
    <col min="12550" max="12550" width="17.69921875" style="34" customWidth="1"/>
    <col min="12551" max="12551" width="22.19921875" style="34" customWidth="1"/>
    <col min="12552" max="12803" width="9" style="34"/>
    <col min="12804" max="12804" width="5.69921875" style="34" customWidth="1"/>
    <col min="12805" max="12805" width="40.69921875" style="34" customWidth="1"/>
    <col min="12806" max="12806" width="17.69921875" style="34" customWidth="1"/>
    <col min="12807" max="12807" width="22.19921875" style="34" customWidth="1"/>
    <col min="12808" max="13059" width="9" style="34"/>
    <col min="13060" max="13060" width="5.69921875" style="34" customWidth="1"/>
    <col min="13061" max="13061" width="40.69921875" style="34" customWidth="1"/>
    <col min="13062" max="13062" width="17.69921875" style="34" customWidth="1"/>
    <col min="13063" max="13063" width="22.19921875" style="34" customWidth="1"/>
    <col min="13064" max="13315" width="9" style="34"/>
    <col min="13316" max="13316" width="5.69921875" style="34" customWidth="1"/>
    <col min="13317" max="13317" width="40.69921875" style="34" customWidth="1"/>
    <col min="13318" max="13318" width="17.69921875" style="34" customWidth="1"/>
    <col min="13319" max="13319" width="22.19921875" style="34" customWidth="1"/>
    <col min="13320" max="13571" width="9" style="34"/>
    <col min="13572" max="13572" width="5.69921875" style="34" customWidth="1"/>
    <col min="13573" max="13573" width="40.69921875" style="34" customWidth="1"/>
    <col min="13574" max="13574" width="17.69921875" style="34" customWidth="1"/>
    <col min="13575" max="13575" width="22.19921875" style="34" customWidth="1"/>
    <col min="13576" max="13827" width="9" style="34"/>
    <col min="13828" max="13828" width="5.69921875" style="34" customWidth="1"/>
    <col min="13829" max="13829" width="40.69921875" style="34" customWidth="1"/>
    <col min="13830" max="13830" width="17.69921875" style="34" customWidth="1"/>
    <col min="13831" max="13831" width="22.19921875" style="34" customWidth="1"/>
    <col min="13832" max="14083" width="9" style="34"/>
    <col min="14084" max="14084" width="5.69921875" style="34" customWidth="1"/>
    <col min="14085" max="14085" width="40.69921875" style="34" customWidth="1"/>
    <col min="14086" max="14086" width="17.69921875" style="34" customWidth="1"/>
    <col min="14087" max="14087" width="22.19921875" style="34" customWidth="1"/>
    <col min="14088" max="14339" width="9" style="34"/>
    <col min="14340" max="14340" width="5.69921875" style="34" customWidth="1"/>
    <col min="14341" max="14341" width="40.69921875" style="34" customWidth="1"/>
    <col min="14342" max="14342" width="17.69921875" style="34" customWidth="1"/>
    <col min="14343" max="14343" width="22.19921875" style="34" customWidth="1"/>
    <col min="14344" max="14595" width="9" style="34"/>
    <col min="14596" max="14596" width="5.69921875" style="34" customWidth="1"/>
    <col min="14597" max="14597" width="40.69921875" style="34" customWidth="1"/>
    <col min="14598" max="14598" width="17.69921875" style="34" customWidth="1"/>
    <col min="14599" max="14599" width="22.19921875" style="34" customWidth="1"/>
    <col min="14600" max="14851" width="9" style="34"/>
    <col min="14852" max="14852" width="5.69921875" style="34" customWidth="1"/>
    <col min="14853" max="14853" width="40.69921875" style="34" customWidth="1"/>
    <col min="14854" max="14854" width="17.69921875" style="34" customWidth="1"/>
    <col min="14855" max="14855" width="22.19921875" style="34" customWidth="1"/>
    <col min="14856" max="15107" width="9" style="34"/>
    <col min="15108" max="15108" width="5.69921875" style="34" customWidth="1"/>
    <col min="15109" max="15109" width="40.69921875" style="34" customWidth="1"/>
    <col min="15110" max="15110" width="17.69921875" style="34" customWidth="1"/>
    <col min="15111" max="15111" width="22.19921875" style="34" customWidth="1"/>
    <col min="15112" max="15363" width="9" style="34"/>
    <col min="15364" max="15364" width="5.69921875" style="34" customWidth="1"/>
    <col min="15365" max="15365" width="40.69921875" style="34" customWidth="1"/>
    <col min="15366" max="15366" width="17.69921875" style="34" customWidth="1"/>
    <col min="15367" max="15367" width="22.19921875" style="34" customWidth="1"/>
    <col min="15368" max="15619" width="9" style="34"/>
    <col min="15620" max="15620" width="5.69921875" style="34" customWidth="1"/>
    <col min="15621" max="15621" width="40.69921875" style="34" customWidth="1"/>
    <col min="15622" max="15622" width="17.69921875" style="34" customWidth="1"/>
    <col min="15623" max="15623" width="22.19921875" style="34" customWidth="1"/>
    <col min="15624" max="15875" width="9" style="34"/>
    <col min="15876" max="15876" width="5.69921875" style="34" customWidth="1"/>
    <col min="15877" max="15877" width="40.69921875" style="34" customWidth="1"/>
    <col min="15878" max="15878" width="17.69921875" style="34" customWidth="1"/>
    <col min="15879" max="15879" width="22.19921875" style="34" customWidth="1"/>
    <col min="15880" max="16131" width="9" style="34"/>
    <col min="16132" max="16132" width="5.69921875" style="34" customWidth="1"/>
    <col min="16133" max="16133" width="40.69921875" style="34" customWidth="1"/>
    <col min="16134" max="16134" width="17.69921875" style="34" customWidth="1"/>
    <col min="16135" max="16135" width="22.19921875" style="34" customWidth="1"/>
    <col min="16136" max="16384" width="9" style="34"/>
  </cols>
  <sheetData>
    <row r="1" spans="1:27" s="12" customFormat="1">
      <c r="A1" s="261" t="s">
        <v>570</v>
      </c>
      <c r="C1" s="15"/>
      <c r="D1" s="15"/>
      <c r="E1" s="15"/>
      <c r="F1" s="15"/>
      <c r="G1" s="15"/>
      <c r="H1" s="15"/>
      <c r="I1" s="15"/>
      <c r="J1" s="15"/>
      <c r="K1" s="15"/>
      <c r="L1" s="15"/>
      <c r="M1" s="15"/>
      <c r="N1" s="15"/>
      <c r="O1" s="15"/>
      <c r="P1" s="15"/>
      <c r="Q1" s="15"/>
      <c r="R1" s="15"/>
    </row>
    <row r="2" spans="1:27" s="12" customFormat="1">
      <c r="A2" s="262" t="s">
        <v>568</v>
      </c>
      <c r="C2" s="15"/>
      <c r="D2" s="15"/>
      <c r="E2" s="15"/>
      <c r="F2" s="15"/>
      <c r="G2" s="15"/>
      <c r="H2" s="15"/>
      <c r="I2" s="15"/>
      <c r="J2" s="15"/>
      <c r="K2" s="15"/>
      <c r="L2" s="15"/>
      <c r="M2" s="15"/>
      <c r="N2" s="15"/>
      <c r="O2" s="15"/>
      <c r="P2" s="15"/>
      <c r="Q2" s="15"/>
      <c r="R2" s="15"/>
    </row>
    <row r="3" spans="1:27" s="33" customFormat="1">
      <c r="A3" s="28"/>
      <c r="C3" s="352"/>
      <c r="D3" s="352"/>
      <c r="E3" s="352"/>
      <c r="F3" s="352"/>
      <c r="G3" s="352"/>
      <c r="H3" s="352"/>
      <c r="I3" s="352"/>
      <c r="J3" s="352"/>
      <c r="K3" s="352"/>
      <c r="L3" s="352"/>
      <c r="M3" s="352"/>
      <c r="N3" s="352"/>
      <c r="O3" s="352"/>
      <c r="P3" s="352"/>
      <c r="Q3" s="32"/>
      <c r="R3" s="352"/>
      <c r="Y3" s="381" t="s">
        <v>244</v>
      </c>
      <c r="Z3" s="381"/>
    </row>
    <row r="4" spans="1:27" s="48" customFormat="1">
      <c r="A4" s="380" t="s">
        <v>249</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row>
    <row r="5" spans="1:27" s="48" customFormat="1" ht="21" customHeight="1">
      <c r="C5" s="47"/>
      <c r="D5" s="357"/>
      <c r="E5" s="357"/>
      <c r="F5" s="357"/>
      <c r="G5" s="357"/>
      <c r="H5" s="357"/>
      <c r="I5" s="357"/>
      <c r="J5" s="357"/>
      <c r="K5" s="357"/>
      <c r="L5" s="357"/>
      <c r="M5" s="357"/>
      <c r="N5" s="357"/>
      <c r="O5" s="357"/>
      <c r="P5" s="357"/>
      <c r="Q5" s="357"/>
      <c r="R5" s="47"/>
    </row>
    <row r="6" spans="1:27" s="14" customFormat="1" ht="21" customHeight="1">
      <c r="A6" s="382" t="s">
        <v>9</v>
      </c>
      <c r="B6" s="382" t="s">
        <v>8</v>
      </c>
      <c r="C6" s="382" t="s">
        <v>54</v>
      </c>
      <c r="D6" s="382" t="s">
        <v>55</v>
      </c>
      <c r="E6" s="382"/>
      <c r="F6" s="382"/>
      <c r="G6" s="382"/>
      <c r="H6" s="382"/>
      <c r="I6" s="382"/>
      <c r="J6" s="382"/>
      <c r="K6" s="382"/>
      <c r="L6" s="382"/>
      <c r="M6" s="382"/>
      <c r="N6" s="382" t="s">
        <v>56</v>
      </c>
      <c r="O6" s="382"/>
      <c r="P6" s="382"/>
      <c r="Q6" s="382"/>
      <c r="R6" s="382"/>
      <c r="S6" s="382"/>
      <c r="T6" s="382"/>
      <c r="U6" s="382"/>
      <c r="V6" s="382"/>
      <c r="W6" s="382"/>
      <c r="X6" s="379" t="s">
        <v>21</v>
      </c>
      <c r="Y6" s="379"/>
      <c r="Z6" s="379" t="s">
        <v>20</v>
      </c>
      <c r="AA6" s="379"/>
    </row>
    <row r="7" spans="1:27" s="14" customFormat="1" ht="12.75" customHeight="1">
      <c r="A7" s="382"/>
      <c r="B7" s="382"/>
      <c r="C7" s="382"/>
      <c r="D7" s="382" t="s">
        <v>7</v>
      </c>
      <c r="E7" s="382" t="s">
        <v>29</v>
      </c>
      <c r="F7" s="382"/>
      <c r="G7" s="382"/>
      <c r="H7" s="382"/>
      <c r="I7" s="382" t="s">
        <v>19</v>
      </c>
      <c r="J7" s="382"/>
      <c r="K7" s="382"/>
      <c r="L7" s="382"/>
      <c r="M7" s="382" t="s">
        <v>18</v>
      </c>
      <c r="N7" s="382" t="s">
        <v>7</v>
      </c>
      <c r="O7" s="382" t="s">
        <v>29</v>
      </c>
      <c r="P7" s="382"/>
      <c r="Q7" s="382"/>
      <c r="R7" s="382"/>
      <c r="S7" s="382" t="s">
        <v>19</v>
      </c>
      <c r="T7" s="382"/>
      <c r="U7" s="382"/>
      <c r="V7" s="382"/>
      <c r="W7" s="382" t="s">
        <v>18</v>
      </c>
      <c r="X7" s="379"/>
      <c r="Y7" s="379"/>
      <c r="Z7" s="379"/>
      <c r="AA7" s="379"/>
    </row>
    <row r="8" spans="1:27" s="14" customFormat="1" ht="13.2">
      <c r="A8" s="382"/>
      <c r="B8" s="382"/>
      <c r="C8" s="382"/>
      <c r="D8" s="382"/>
      <c r="E8" s="382"/>
      <c r="F8" s="382"/>
      <c r="G8" s="382"/>
      <c r="H8" s="382"/>
      <c r="I8" s="382"/>
      <c r="J8" s="382"/>
      <c r="K8" s="382"/>
      <c r="L8" s="382"/>
      <c r="M8" s="382"/>
      <c r="N8" s="382"/>
      <c r="O8" s="382"/>
      <c r="P8" s="382"/>
      <c r="Q8" s="382"/>
      <c r="R8" s="382"/>
      <c r="S8" s="382"/>
      <c r="T8" s="382"/>
      <c r="U8" s="382"/>
      <c r="V8" s="382"/>
      <c r="W8" s="382"/>
      <c r="X8" s="379" t="s">
        <v>6</v>
      </c>
      <c r="Y8" s="379" t="s">
        <v>17</v>
      </c>
      <c r="Z8" s="379" t="s">
        <v>6</v>
      </c>
      <c r="AA8" s="379" t="s">
        <v>17</v>
      </c>
    </row>
    <row r="9" spans="1:27" s="14" customFormat="1" ht="32.25" customHeight="1">
      <c r="A9" s="382"/>
      <c r="B9" s="382"/>
      <c r="C9" s="382"/>
      <c r="D9" s="382"/>
      <c r="E9" s="289" t="s">
        <v>46</v>
      </c>
      <c r="F9" s="289" t="s">
        <v>47</v>
      </c>
      <c r="G9" s="289" t="s">
        <v>5</v>
      </c>
      <c r="H9" s="289" t="s">
        <v>4</v>
      </c>
      <c r="I9" s="289" t="s">
        <v>46</v>
      </c>
      <c r="J9" s="289" t="s">
        <v>47</v>
      </c>
      <c r="K9" s="289" t="s">
        <v>5</v>
      </c>
      <c r="L9" s="289" t="s">
        <v>4</v>
      </c>
      <c r="M9" s="382"/>
      <c r="N9" s="382"/>
      <c r="O9" s="289" t="s">
        <v>46</v>
      </c>
      <c r="P9" s="289" t="s">
        <v>47</v>
      </c>
      <c r="Q9" s="289" t="s">
        <v>5</v>
      </c>
      <c r="R9" s="289" t="s">
        <v>4</v>
      </c>
      <c r="S9" s="289" t="s">
        <v>46</v>
      </c>
      <c r="T9" s="289" t="s">
        <v>47</v>
      </c>
      <c r="U9" s="289" t="s">
        <v>5</v>
      </c>
      <c r="V9" s="289" t="s">
        <v>4</v>
      </c>
      <c r="W9" s="382"/>
      <c r="X9" s="379"/>
      <c r="Y9" s="379"/>
      <c r="Z9" s="379"/>
      <c r="AA9" s="379"/>
    </row>
    <row r="10" spans="1:27" s="50" customFormat="1" ht="13.2">
      <c r="A10" s="23"/>
      <c r="B10" s="23" t="s">
        <v>50</v>
      </c>
      <c r="C10" s="353"/>
      <c r="D10" s="353">
        <f t="shared" ref="D10:R10" si="0">+D11+D14+D17+D19+D23+D29+D34+D38</f>
        <v>23491.45175</v>
      </c>
      <c r="E10" s="353">
        <f t="shared" si="0"/>
        <v>1924.6</v>
      </c>
      <c r="F10" s="353">
        <f t="shared" si="0"/>
        <v>4253.4750000000004</v>
      </c>
      <c r="G10" s="353">
        <f t="shared" si="0"/>
        <v>5469.1720000000005</v>
      </c>
      <c r="H10" s="353">
        <f t="shared" si="0"/>
        <v>11844.204750000001</v>
      </c>
      <c r="I10" s="353">
        <f t="shared" si="0"/>
        <v>0</v>
      </c>
      <c r="J10" s="353">
        <f t="shared" si="0"/>
        <v>0</v>
      </c>
      <c r="K10" s="353">
        <f t="shared" si="0"/>
        <v>0</v>
      </c>
      <c r="L10" s="353">
        <f t="shared" si="0"/>
        <v>0</v>
      </c>
      <c r="M10" s="353">
        <f t="shared" si="0"/>
        <v>0</v>
      </c>
      <c r="N10" s="353">
        <f t="shared" si="0"/>
        <v>23223.45175</v>
      </c>
      <c r="O10" s="353">
        <f t="shared" si="0"/>
        <v>1759.6</v>
      </c>
      <c r="P10" s="353">
        <f t="shared" si="0"/>
        <v>4150.4750000000004</v>
      </c>
      <c r="Q10" s="353">
        <f t="shared" si="0"/>
        <v>5469.1720000000005</v>
      </c>
      <c r="R10" s="353">
        <f t="shared" si="0"/>
        <v>11844.204750000001</v>
      </c>
      <c r="S10" s="49"/>
      <c r="T10" s="49"/>
      <c r="U10" s="49"/>
      <c r="V10" s="49"/>
      <c r="W10" s="49"/>
      <c r="X10" s="49"/>
      <c r="Y10" s="49"/>
      <c r="Z10" s="49"/>
      <c r="AA10" s="49"/>
    </row>
    <row r="11" spans="1:27" s="166" customFormat="1" ht="11.4">
      <c r="A11" s="160"/>
      <c r="B11" s="160" t="s">
        <v>53</v>
      </c>
      <c r="C11" s="354">
        <f>SUM(C12:C13)</f>
        <v>1157</v>
      </c>
      <c r="D11" s="354">
        <f>SUM(D12:D13)</f>
        <v>574.47500000000002</v>
      </c>
      <c r="E11" s="354">
        <f t="shared" ref="E11:R11" si="1">SUM(E12:E13)</f>
        <v>250</v>
      </c>
      <c r="F11" s="354">
        <f t="shared" si="1"/>
        <v>324.47500000000002</v>
      </c>
      <c r="G11" s="354">
        <f t="shared" si="1"/>
        <v>0</v>
      </c>
      <c r="H11" s="354">
        <f t="shared" si="1"/>
        <v>0</v>
      </c>
      <c r="I11" s="354">
        <f t="shared" si="1"/>
        <v>0</v>
      </c>
      <c r="J11" s="354">
        <f t="shared" si="1"/>
        <v>0</v>
      </c>
      <c r="K11" s="354">
        <f t="shared" si="1"/>
        <v>0</v>
      </c>
      <c r="L11" s="354">
        <f t="shared" si="1"/>
        <v>0</v>
      </c>
      <c r="M11" s="354">
        <f t="shared" si="1"/>
        <v>0</v>
      </c>
      <c r="N11" s="354">
        <f>SUM(N12:N13)</f>
        <v>574.47500000000002</v>
      </c>
      <c r="O11" s="354">
        <f t="shared" si="1"/>
        <v>250</v>
      </c>
      <c r="P11" s="354">
        <f t="shared" si="1"/>
        <v>324.47500000000002</v>
      </c>
      <c r="Q11" s="354">
        <f t="shared" si="1"/>
        <v>0</v>
      </c>
      <c r="R11" s="354">
        <f t="shared" si="1"/>
        <v>0</v>
      </c>
      <c r="S11" s="165"/>
      <c r="T11" s="165"/>
      <c r="U11" s="165"/>
      <c r="V11" s="165"/>
      <c r="W11" s="165"/>
      <c r="X11" s="165"/>
      <c r="Y11" s="165"/>
      <c r="Z11" s="165"/>
      <c r="AA11" s="165"/>
    </row>
    <row r="12" spans="1:27" s="167" customFormat="1" ht="12">
      <c r="A12" s="158" t="s">
        <v>1</v>
      </c>
      <c r="B12" s="159" t="s">
        <v>460</v>
      </c>
      <c r="C12" s="355">
        <v>833</v>
      </c>
      <c r="D12" s="355">
        <f>+E12+F12+G12+H12+I12+J12+K12+L12+M12</f>
        <v>250</v>
      </c>
      <c r="E12" s="355">
        <v>250</v>
      </c>
      <c r="F12" s="355"/>
      <c r="G12" s="355"/>
      <c r="H12" s="355"/>
      <c r="I12" s="355"/>
      <c r="J12" s="355"/>
      <c r="K12" s="355"/>
      <c r="L12" s="355"/>
      <c r="M12" s="355"/>
      <c r="N12" s="355">
        <f>SUM(O12:R12)</f>
        <v>250</v>
      </c>
      <c r="O12" s="355">
        <f>+E12</f>
        <v>250</v>
      </c>
      <c r="P12" s="355"/>
      <c r="Q12" s="355"/>
      <c r="R12" s="355"/>
      <c r="S12" s="159"/>
      <c r="T12" s="159"/>
      <c r="U12" s="159"/>
      <c r="V12" s="159"/>
      <c r="W12" s="159"/>
      <c r="X12" s="159">
        <f>+(O12+P12)/C12*100</f>
        <v>30.012004801920767</v>
      </c>
      <c r="Y12" s="159">
        <f>+(O12+P12+Q12+R12)/C12*100</f>
        <v>30.012004801920767</v>
      </c>
      <c r="Z12" s="159"/>
      <c r="AA12" s="159"/>
    </row>
    <row r="13" spans="1:27" s="167" customFormat="1" ht="24">
      <c r="A13" s="158" t="s">
        <v>1</v>
      </c>
      <c r="B13" s="159" t="s">
        <v>464</v>
      </c>
      <c r="C13" s="355">
        <v>324</v>
      </c>
      <c r="D13" s="355">
        <f>+E13+F13+G13+H13+I13+J13+K13+L13+M13</f>
        <v>324.47500000000002</v>
      </c>
      <c r="E13" s="355"/>
      <c r="F13" s="355">
        <v>324.47500000000002</v>
      </c>
      <c r="G13" s="355"/>
      <c r="H13" s="355"/>
      <c r="I13" s="355"/>
      <c r="J13" s="355"/>
      <c r="K13" s="355"/>
      <c r="L13" s="355"/>
      <c r="M13" s="355"/>
      <c r="N13" s="355">
        <f>SUM(O13:R13)</f>
        <v>324.47500000000002</v>
      </c>
      <c r="O13" s="355"/>
      <c r="P13" s="355">
        <f>+F13</f>
        <v>324.47500000000002</v>
      </c>
      <c r="Q13" s="355"/>
      <c r="R13" s="355"/>
      <c r="S13" s="159"/>
      <c r="T13" s="159"/>
      <c r="U13" s="159"/>
      <c r="V13" s="159"/>
      <c r="W13" s="159"/>
      <c r="X13" s="159">
        <f t="shared" ref="X13:X46" si="2">+(O13+P13)/C13*100</f>
        <v>100.14660493827161</v>
      </c>
      <c r="Y13" s="159">
        <f t="shared" ref="Y13:Y46" si="3">+(O13+P13+Q13+R13)/C13*100</f>
        <v>100.14660493827161</v>
      </c>
      <c r="Z13" s="159"/>
      <c r="AA13" s="159"/>
    </row>
    <row r="14" spans="1:27" s="166" customFormat="1" ht="12">
      <c r="A14" s="160"/>
      <c r="B14" s="160" t="s">
        <v>268</v>
      </c>
      <c r="C14" s="354">
        <f>SUM(C15:C16)</f>
        <v>2138</v>
      </c>
      <c r="D14" s="354">
        <f>+D15+D16</f>
        <v>692</v>
      </c>
      <c r="E14" s="354">
        <f t="shared" ref="E14:R14" si="4">SUM(E15:E16)</f>
        <v>620</v>
      </c>
      <c r="F14" s="354">
        <f t="shared" si="4"/>
        <v>72</v>
      </c>
      <c r="G14" s="354">
        <f t="shared" si="4"/>
        <v>0</v>
      </c>
      <c r="H14" s="354">
        <f t="shared" si="4"/>
        <v>0</v>
      </c>
      <c r="I14" s="354">
        <f t="shared" si="4"/>
        <v>0</v>
      </c>
      <c r="J14" s="354">
        <f t="shared" si="4"/>
        <v>0</v>
      </c>
      <c r="K14" s="354">
        <f t="shared" si="4"/>
        <v>0</v>
      </c>
      <c r="L14" s="354">
        <f t="shared" si="4"/>
        <v>0</v>
      </c>
      <c r="M14" s="354">
        <f t="shared" si="4"/>
        <v>0</v>
      </c>
      <c r="N14" s="354">
        <f t="shared" si="4"/>
        <v>692</v>
      </c>
      <c r="O14" s="354">
        <f t="shared" si="4"/>
        <v>620</v>
      </c>
      <c r="P14" s="354">
        <f t="shared" si="4"/>
        <v>72</v>
      </c>
      <c r="Q14" s="354">
        <f t="shared" si="4"/>
        <v>0</v>
      </c>
      <c r="R14" s="354">
        <f t="shared" si="4"/>
        <v>0</v>
      </c>
      <c r="S14" s="165"/>
      <c r="T14" s="165"/>
      <c r="U14" s="165"/>
      <c r="V14" s="165"/>
      <c r="W14" s="165"/>
      <c r="X14" s="255">
        <f t="shared" si="2"/>
        <v>32.366697848456496</v>
      </c>
      <c r="Y14" s="255">
        <f t="shared" si="3"/>
        <v>32.366697848456496</v>
      </c>
      <c r="Z14" s="165"/>
      <c r="AA14" s="165"/>
    </row>
    <row r="15" spans="1:27" s="167" customFormat="1" ht="24">
      <c r="A15" s="158" t="s">
        <v>1</v>
      </c>
      <c r="B15" s="159" t="s">
        <v>464</v>
      </c>
      <c r="C15" s="355">
        <v>72</v>
      </c>
      <c r="D15" s="355">
        <f>SUM(E15:M15)</f>
        <v>72</v>
      </c>
      <c r="E15" s="355"/>
      <c r="F15" s="355">
        <v>72</v>
      </c>
      <c r="G15" s="355"/>
      <c r="H15" s="355"/>
      <c r="I15" s="355"/>
      <c r="J15" s="355"/>
      <c r="K15" s="355"/>
      <c r="L15" s="355"/>
      <c r="M15" s="355"/>
      <c r="N15" s="355">
        <f>SUM(O15:R15)</f>
        <v>72</v>
      </c>
      <c r="O15" s="355"/>
      <c r="P15" s="355">
        <f>+F15</f>
        <v>72</v>
      </c>
      <c r="Q15" s="355"/>
      <c r="R15" s="355"/>
      <c r="S15" s="159"/>
      <c r="T15" s="159"/>
      <c r="U15" s="159"/>
      <c r="V15" s="159"/>
      <c r="W15" s="159"/>
      <c r="X15" s="159">
        <f t="shared" si="2"/>
        <v>100</v>
      </c>
      <c r="Y15" s="159">
        <f t="shared" si="3"/>
        <v>100</v>
      </c>
      <c r="Z15" s="159"/>
      <c r="AA15" s="159"/>
    </row>
    <row r="16" spans="1:27" s="167" customFormat="1" ht="12">
      <c r="A16" s="158" t="s">
        <v>1</v>
      </c>
      <c r="B16" s="159" t="s">
        <v>460</v>
      </c>
      <c r="C16" s="355">
        <v>2066</v>
      </c>
      <c r="D16" s="355">
        <f>SUM(E16:M16)</f>
        <v>620</v>
      </c>
      <c r="E16" s="355">
        <v>620</v>
      </c>
      <c r="F16" s="355"/>
      <c r="G16" s="355"/>
      <c r="H16" s="355"/>
      <c r="I16" s="355"/>
      <c r="J16" s="355"/>
      <c r="K16" s="355"/>
      <c r="L16" s="355"/>
      <c r="M16" s="355"/>
      <c r="N16" s="355">
        <f>SUM(O16:R16)</f>
        <v>620</v>
      </c>
      <c r="O16" s="355">
        <f>+E16</f>
        <v>620</v>
      </c>
      <c r="P16" s="355"/>
      <c r="Q16" s="355"/>
      <c r="R16" s="355"/>
      <c r="S16" s="159"/>
      <c r="T16" s="159"/>
      <c r="U16" s="159"/>
      <c r="V16" s="159"/>
      <c r="W16" s="159"/>
      <c r="X16" s="159">
        <f t="shared" si="2"/>
        <v>30.009680542110356</v>
      </c>
      <c r="Y16" s="159">
        <f t="shared" si="3"/>
        <v>30.009680542110356</v>
      </c>
      <c r="Z16" s="159"/>
      <c r="AA16" s="159"/>
    </row>
    <row r="17" spans="1:27" s="166" customFormat="1" ht="12">
      <c r="A17" s="160"/>
      <c r="B17" s="160" t="s">
        <v>269</v>
      </c>
      <c r="C17" s="354">
        <f>+C18</f>
        <v>19</v>
      </c>
      <c r="D17" s="354">
        <f>+D18</f>
        <v>19</v>
      </c>
      <c r="E17" s="354">
        <f>+E18</f>
        <v>0</v>
      </c>
      <c r="F17" s="354">
        <f t="shared" ref="F17:R17" si="5">+F18</f>
        <v>19</v>
      </c>
      <c r="G17" s="354">
        <f t="shared" si="5"/>
        <v>0</v>
      </c>
      <c r="H17" s="354">
        <f t="shared" si="5"/>
        <v>0</v>
      </c>
      <c r="I17" s="354">
        <f t="shared" si="5"/>
        <v>0</v>
      </c>
      <c r="J17" s="354">
        <f t="shared" si="5"/>
        <v>0</v>
      </c>
      <c r="K17" s="354">
        <f t="shared" si="5"/>
        <v>0</v>
      </c>
      <c r="L17" s="354">
        <f t="shared" si="5"/>
        <v>0</v>
      </c>
      <c r="M17" s="354">
        <f t="shared" si="5"/>
        <v>0</v>
      </c>
      <c r="N17" s="354">
        <f t="shared" si="5"/>
        <v>19</v>
      </c>
      <c r="O17" s="354">
        <f t="shared" si="5"/>
        <v>0</v>
      </c>
      <c r="P17" s="354">
        <f t="shared" si="5"/>
        <v>19</v>
      </c>
      <c r="Q17" s="354">
        <f t="shared" si="5"/>
        <v>0</v>
      </c>
      <c r="R17" s="354">
        <f t="shared" si="5"/>
        <v>0</v>
      </c>
      <c r="S17" s="165"/>
      <c r="T17" s="165"/>
      <c r="U17" s="165"/>
      <c r="V17" s="165"/>
      <c r="W17" s="165"/>
      <c r="X17" s="255">
        <f t="shared" si="2"/>
        <v>100</v>
      </c>
      <c r="Y17" s="255">
        <f t="shared" si="3"/>
        <v>100</v>
      </c>
      <c r="Z17" s="165"/>
      <c r="AA17" s="165"/>
    </row>
    <row r="18" spans="1:27" s="167" customFormat="1" ht="24">
      <c r="A18" s="158" t="s">
        <v>1</v>
      </c>
      <c r="B18" s="159" t="s">
        <v>462</v>
      </c>
      <c r="C18" s="355">
        <v>19</v>
      </c>
      <c r="D18" s="355">
        <f>SUM(E18:M18)</f>
        <v>19</v>
      </c>
      <c r="E18" s="355"/>
      <c r="F18" s="355">
        <v>19</v>
      </c>
      <c r="G18" s="355"/>
      <c r="H18" s="355"/>
      <c r="I18" s="355"/>
      <c r="J18" s="355"/>
      <c r="K18" s="355"/>
      <c r="L18" s="355"/>
      <c r="M18" s="355"/>
      <c r="N18" s="355">
        <f>SUM(O18:R18)</f>
        <v>19</v>
      </c>
      <c r="O18" s="355"/>
      <c r="P18" s="355">
        <f>+F18</f>
        <v>19</v>
      </c>
      <c r="Q18" s="355"/>
      <c r="R18" s="355"/>
      <c r="S18" s="159"/>
      <c r="T18" s="159"/>
      <c r="U18" s="159"/>
      <c r="V18" s="159"/>
      <c r="W18" s="159"/>
      <c r="X18" s="159">
        <f t="shared" si="2"/>
        <v>100</v>
      </c>
      <c r="Y18" s="159">
        <f t="shared" si="3"/>
        <v>100</v>
      </c>
      <c r="Z18" s="159"/>
      <c r="AA18" s="159"/>
    </row>
    <row r="19" spans="1:27" s="166" customFormat="1" ht="12">
      <c r="A19" s="160"/>
      <c r="B19" s="160" t="s">
        <v>270</v>
      </c>
      <c r="C19" s="354">
        <f>+C20+C21+C22</f>
        <v>820.6</v>
      </c>
      <c r="D19" s="354">
        <f>SUM(D20:D22)</f>
        <v>301.60000000000002</v>
      </c>
      <c r="E19" s="354">
        <f>SUM(E20:E22)</f>
        <v>236.6</v>
      </c>
      <c r="F19" s="354">
        <f t="shared" ref="F19:R19" si="6">SUM(F20:F22)</f>
        <v>25</v>
      </c>
      <c r="G19" s="354">
        <f t="shared" si="6"/>
        <v>0</v>
      </c>
      <c r="H19" s="354">
        <f t="shared" si="6"/>
        <v>40</v>
      </c>
      <c r="I19" s="354">
        <f t="shared" si="6"/>
        <v>0</v>
      </c>
      <c r="J19" s="354">
        <f t="shared" si="6"/>
        <v>0</v>
      </c>
      <c r="K19" s="354">
        <f t="shared" si="6"/>
        <v>0</v>
      </c>
      <c r="L19" s="354">
        <f t="shared" si="6"/>
        <v>0</v>
      </c>
      <c r="M19" s="354">
        <f t="shared" si="6"/>
        <v>0</v>
      </c>
      <c r="N19" s="354">
        <f t="shared" si="6"/>
        <v>301.60000000000002</v>
      </c>
      <c r="O19" s="354">
        <f t="shared" si="6"/>
        <v>236.6</v>
      </c>
      <c r="P19" s="354">
        <f t="shared" si="6"/>
        <v>25</v>
      </c>
      <c r="Q19" s="354">
        <f t="shared" si="6"/>
        <v>0</v>
      </c>
      <c r="R19" s="354">
        <f t="shared" si="6"/>
        <v>40</v>
      </c>
      <c r="S19" s="165"/>
      <c r="T19" s="165"/>
      <c r="U19" s="165"/>
      <c r="V19" s="165"/>
      <c r="W19" s="165"/>
      <c r="X19" s="255">
        <f t="shared" si="2"/>
        <v>31.879112844260298</v>
      </c>
      <c r="Y19" s="255">
        <f t="shared" si="3"/>
        <v>36.753594930538632</v>
      </c>
      <c r="Z19" s="165"/>
      <c r="AA19" s="165"/>
    </row>
    <row r="20" spans="1:27" s="167" customFormat="1" ht="12">
      <c r="A20" s="158" t="s">
        <v>1</v>
      </c>
      <c r="B20" s="159" t="s">
        <v>460</v>
      </c>
      <c r="C20" s="355">
        <v>455.6</v>
      </c>
      <c r="D20" s="355">
        <f>SUM(E20:M20)</f>
        <v>136.6</v>
      </c>
      <c r="E20" s="355">
        <v>136.6</v>
      </c>
      <c r="F20" s="355"/>
      <c r="G20" s="355"/>
      <c r="H20" s="355"/>
      <c r="I20" s="355"/>
      <c r="J20" s="355"/>
      <c r="K20" s="355"/>
      <c r="L20" s="355"/>
      <c r="M20" s="355"/>
      <c r="N20" s="355">
        <f>SUM(O20:R20)</f>
        <v>136.6</v>
      </c>
      <c r="O20" s="355">
        <f>+E20</f>
        <v>136.6</v>
      </c>
      <c r="P20" s="355"/>
      <c r="Q20" s="355"/>
      <c r="R20" s="355"/>
      <c r="S20" s="159"/>
      <c r="T20" s="159"/>
      <c r="U20" s="159"/>
      <c r="V20" s="159"/>
      <c r="W20" s="159"/>
      <c r="X20" s="159">
        <f t="shared" si="2"/>
        <v>29.982440737489025</v>
      </c>
      <c r="Y20" s="159">
        <f t="shared" si="3"/>
        <v>29.982440737489025</v>
      </c>
      <c r="Z20" s="159"/>
      <c r="AA20" s="159"/>
    </row>
    <row r="21" spans="1:27" s="167" customFormat="1" ht="12">
      <c r="A21" s="158" t="s">
        <v>11</v>
      </c>
      <c r="B21" s="159" t="s">
        <v>461</v>
      </c>
      <c r="C21" s="355">
        <v>265</v>
      </c>
      <c r="D21" s="355">
        <f>SUM(E21:M21)</f>
        <v>65</v>
      </c>
      <c r="E21" s="355"/>
      <c r="F21" s="355">
        <v>25</v>
      </c>
      <c r="G21" s="355"/>
      <c r="H21" s="355">
        <v>40</v>
      </c>
      <c r="I21" s="355"/>
      <c r="J21" s="355"/>
      <c r="K21" s="355"/>
      <c r="L21" s="355"/>
      <c r="M21" s="355"/>
      <c r="N21" s="355">
        <f t="shared" ref="N21:N22" si="7">SUM(O21:R21)</f>
        <v>65</v>
      </c>
      <c r="O21" s="355"/>
      <c r="P21" s="355">
        <f>+F21</f>
        <v>25</v>
      </c>
      <c r="Q21" s="355"/>
      <c r="R21" s="355">
        <f>+H21</f>
        <v>40</v>
      </c>
      <c r="S21" s="159"/>
      <c r="T21" s="159"/>
      <c r="U21" s="159"/>
      <c r="V21" s="159"/>
      <c r="W21" s="159"/>
      <c r="X21" s="159">
        <f t="shared" si="2"/>
        <v>9.433962264150944</v>
      </c>
      <c r="Y21" s="159">
        <f t="shared" si="3"/>
        <v>24.528301886792452</v>
      </c>
      <c r="Z21" s="159"/>
      <c r="AA21" s="159"/>
    </row>
    <row r="22" spans="1:27" s="167" customFormat="1" ht="12">
      <c r="A22" s="158" t="s">
        <v>1</v>
      </c>
      <c r="B22" s="159" t="s">
        <v>463</v>
      </c>
      <c r="C22" s="355">
        <v>100</v>
      </c>
      <c r="D22" s="355">
        <f t="shared" ref="D22" si="8">SUM(E22:M22)</f>
        <v>100</v>
      </c>
      <c r="E22" s="355">
        <v>100</v>
      </c>
      <c r="F22" s="355"/>
      <c r="G22" s="355"/>
      <c r="H22" s="355"/>
      <c r="I22" s="355"/>
      <c r="J22" s="355"/>
      <c r="K22" s="355"/>
      <c r="L22" s="355"/>
      <c r="M22" s="355"/>
      <c r="N22" s="355">
        <f t="shared" si="7"/>
        <v>100</v>
      </c>
      <c r="O22" s="355">
        <f>+E22</f>
        <v>100</v>
      </c>
      <c r="P22" s="355"/>
      <c r="Q22" s="355"/>
      <c r="R22" s="355"/>
      <c r="S22" s="159"/>
      <c r="T22" s="159"/>
      <c r="U22" s="159"/>
      <c r="V22" s="159"/>
      <c r="W22" s="159"/>
      <c r="X22" s="159">
        <f t="shared" si="2"/>
        <v>100</v>
      </c>
      <c r="Y22" s="159">
        <f t="shared" si="3"/>
        <v>100</v>
      </c>
      <c r="Z22" s="159"/>
      <c r="AA22" s="159"/>
    </row>
    <row r="23" spans="1:27" s="166" customFormat="1" ht="12">
      <c r="A23" s="160"/>
      <c r="B23" s="160" t="s">
        <v>267</v>
      </c>
      <c r="C23" s="354">
        <f>+C24+C25+C26+C27+C28</f>
        <v>9304</v>
      </c>
      <c r="D23" s="354">
        <f>SUM(D24:D28)</f>
        <v>4239.3924999999999</v>
      </c>
      <c r="E23" s="354">
        <f>SUM(E24:E28)</f>
        <v>135</v>
      </c>
      <c r="F23" s="354">
        <f t="shared" ref="F23:R23" si="9">SUM(F24:F28)</f>
        <v>405</v>
      </c>
      <c r="G23" s="354">
        <f t="shared" si="9"/>
        <v>1184.104</v>
      </c>
      <c r="H23" s="354">
        <f t="shared" si="9"/>
        <v>2515.2885000000001</v>
      </c>
      <c r="I23" s="354">
        <f t="shared" si="9"/>
        <v>0</v>
      </c>
      <c r="J23" s="354">
        <f t="shared" si="9"/>
        <v>0</v>
      </c>
      <c r="K23" s="354">
        <f t="shared" si="9"/>
        <v>0</v>
      </c>
      <c r="L23" s="354">
        <f t="shared" si="9"/>
        <v>0</v>
      </c>
      <c r="M23" s="354">
        <f t="shared" si="9"/>
        <v>0</v>
      </c>
      <c r="N23" s="354">
        <f t="shared" si="9"/>
        <v>4239.3924999999999</v>
      </c>
      <c r="O23" s="354">
        <f t="shared" si="9"/>
        <v>135</v>
      </c>
      <c r="P23" s="354">
        <f t="shared" si="9"/>
        <v>405</v>
      </c>
      <c r="Q23" s="354">
        <f t="shared" si="9"/>
        <v>1184.104</v>
      </c>
      <c r="R23" s="354">
        <f t="shared" si="9"/>
        <v>2515.2885000000001</v>
      </c>
      <c r="S23" s="165"/>
      <c r="T23" s="165"/>
      <c r="U23" s="165"/>
      <c r="V23" s="165"/>
      <c r="W23" s="165"/>
      <c r="X23" s="255">
        <f t="shared" si="2"/>
        <v>5.8039552880481518</v>
      </c>
      <c r="Y23" s="255">
        <f t="shared" si="3"/>
        <v>45.565267626827172</v>
      </c>
      <c r="Z23" s="165"/>
      <c r="AA23" s="165"/>
    </row>
    <row r="24" spans="1:27" s="167" customFormat="1" ht="24">
      <c r="A24" s="158" t="s">
        <v>1</v>
      </c>
      <c r="B24" s="159" t="s">
        <v>464</v>
      </c>
      <c r="C24" s="355">
        <v>270</v>
      </c>
      <c r="D24" s="355">
        <f>SUM(E24:M24)</f>
        <v>270</v>
      </c>
      <c r="E24" s="355">
        <v>135</v>
      </c>
      <c r="F24" s="355"/>
      <c r="G24" s="355"/>
      <c r="H24" s="355">
        <f>+E24</f>
        <v>135</v>
      </c>
      <c r="I24" s="355"/>
      <c r="J24" s="355"/>
      <c r="K24" s="355"/>
      <c r="L24" s="355"/>
      <c r="M24" s="355"/>
      <c r="N24" s="355">
        <f>SUM(O24:R24)</f>
        <v>270</v>
      </c>
      <c r="O24" s="355">
        <f>+E24</f>
        <v>135</v>
      </c>
      <c r="P24" s="355"/>
      <c r="Q24" s="355"/>
      <c r="R24" s="355">
        <f>+H24</f>
        <v>135</v>
      </c>
      <c r="S24" s="159"/>
      <c r="T24" s="159"/>
      <c r="U24" s="159"/>
      <c r="V24" s="159"/>
      <c r="W24" s="159"/>
      <c r="X24" s="159">
        <f t="shared" si="2"/>
        <v>50</v>
      </c>
      <c r="Y24" s="159">
        <f t="shared" si="3"/>
        <v>100</v>
      </c>
      <c r="Z24" s="159"/>
      <c r="AA24" s="159"/>
    </row>
    <row r="25" spans="1:27" s="167" customFormat="1" ht="24">
      <c r="A25" s="158" t="s">
        <v>1</v>
      </c>
      <c r="B25" s="159" t="s">
        <v>465</v>
      </c>
      <c r="C25" s="355">
        <v>6929</v>
      </c>
      <c r="D25" s="355">
        <f t="shared" ref="D25:D27" si="10">SUM(E25:M25)</f>
        <v>3464.3924999999999</v>
      </c>
      <c r="E25" s="355"/>
      <c r="F25" s="355"/>
      <c r="G25" s="355">
        <f>(670000000+514104000)/1000000</f>
        <v>1184.104</v>
      </c>
      <c r="H25" s="355">
        <f>(778205000+1502083500)/1000000</f>
        <v>2280.2885000000001</v>
      </c>
      <c r="I25" s="355"/>
      <c r="J25" s="355"/>
      <c r="K25" s="355"/>
      <c r="L25" s="355"/>
      <c r="M25" s="355"/>
      <c r="N25" s="355">
        <f t="shared" ref="N25:N28" si="11">SUM(O25:R25)</f>
        <v>3464.3924999999999</v>
      </c>
      <c r="O25" s="355"/>
      <c r="P25" s="355"/>
      <c r="Q25" s="355">
        <f>+G25</f>
        <v>1184.104</v>
      </c>
      <c r="R25" s="355">
        <f t="shared" ref="R25:R28" si="12">+H25</f>
        <v>2280.2885000000001</v>
      </c>
      <c r="S25" s="159"/>
      <c r="T25" s="159"/>
      <c r="U25" s="159"/>
      <c r="V25" s="159"/>
      <c r="W25" s="159"/>
      <c r="X25" s="159">
        <f t="shared" si="2"/>
        <v>0</v>
      </c>
      <c r="Y25" s="159">
        <f t="shared" si="3"/>
        <v>49.998448549574256</v>
      </c>
      <c r="Z25" s="159"/>
      <c r="AA25" s="159"/>
    </row>
    <row r="26" spans="1:27" s="167" customFormat="1" ht="48">
      <c r="A26" s="158" t="s">
        <v>1</v>
      </c>
      <c r="B26" s="159" t="s">
        <v>466</v>
      </c>
      <c r="C26" s="355">
        <v>40</v>
      </c>
      <c r="D26" s="355">
        <f>SUM(E26:M26)</f>
        <v>40</v>
      </c>
      <c r="E26" s="355"/>
      <c r="F26" s="355">
        <v>40</v>
      </c>
      <c r="G26" s="355"/>
      <c r="H26" s="355"/>
      <c r="I26" s="355"/>
      <c r="J26" s="355"/>
      <c r="K26" s="355"/>
      <c r="L26" s="355"/>
      <c r="M26" s="355"/>
      <c r="N26" s="355">
        <f t="shared" si="11"/>
        <v>40</v>
      </c>
      <c r="O26" s="355"/>
      <c r="P26" s="355">
        <f>+F26</f>
        <v>40</v>
      </c>
      <c r="Q26" s="355"/>
      <c r="R26" s="355">
        <f t="shared" si="12"/>
        <v>0</v>
      </c>
      <c r="S26" s="159"/>
      <c r="T26" s="159"/>
      <c r="U26" s="159"/>
      <c r="V26" s="159"/>
      <c r="W26" s="159"/>
      <c r="X26" s="159">
        <f t="shared" si="2"/>
        <v>100</v>
      </c>
      <c r="Y26" s="159">
        <f t="shared" si="3"/>
        <v>100</v>
      </c>
      <c r="Z26" s="159"/>
      <c r="AA26" s="159"/>
    </row>
    <row r="27" spans="1:27" s="167" customFormat="1" ht="26.4" customHeight="1">
      <c r="A27" s="158" t="s">
        <v>1</v>
      </c>
      <c r="B27" s="159" t="s">
        <v>467</v>
      </c>
      <c r="C27" s="355">
        <v>65</v>
      </c>
      <c r="D27" s="355">
        <f t="shared" si="10"/>
        <v>65</v>
      </c>
      <c r="E27" s="355"/>
      <c r="F27" s="355">
        <v>65</v>
      </c>
      <c r="G27" s="355"/>
      <c r="H27" s="355"/>
      <c r="I27" s="355"/>
      <c r="J27" s="355"/>
      <c r="K27" s="355"/>
      <c r="L27" s="355"/>
      <c r="M27" s="355"/>
      <c r="N27" s="355">
        <f t="shared" si="11"/>
        <v>65</v>
      </c>
      <c r="O27" s="355"/>
      <c r="P27" s="355">
        <f t="shared" ref="P27:P28" si="13">+F27</f>
        <v>65</v>
      </c>
      <c r="Q27" s="355"/>
      <c r="R27" s="355">
        <f t="shared" si="12"/>
        <v>0</v>
      </c>
      <c r="S27" s="159"/>
      <c r="T27" s="159"/>
      <c r="U27" s="159"/>
      <c r="V27" s="159"/>
      <c r="W27" s="159"/>
      <c r="X27" s="159">
        <f t="shared" si="2"/>
        <v>100</v>
      </c>
      <c r="Y27" s="159">
        <f t="shared" si="3"/>
        <v>100</v>
      </c>
      <c r="Z27" s="159"/>
      <c r="AA27" s="159"/>
    </row>
    <row r="28" spans="1:27" s="167" customFormat="1" ht="12">
      <c r="A28" s="158" t="s">
        <v>1</v>
      </c>
      <c r="B28" s="159" t="s">
        <v>468</v>
      </c>
      <c r="C28" s="355">
        <v>2000</v>
      </c>
      <c r="D28" s="355">
        <f>SUM(E28:M28)</f>
        <v>400</v>
      </c>
      <c r="E28" s="355"/>
      <c r="F28" s="355">
        <v>300</v>
      </c>
      <c r="G28" s="355"/>
      <c r="H28" s="355">
        <v>100</v>
      </c>
      <c r="I28" s="355"/>
      <c r="J28" s="355"/>
      <c r="K28" s="355"/>
      <c r="L28" s="355"/>
      <c r="M28" s="355"/>
      <c r="N28" s="355">
        <f t="shared" si="11"/>
        <v>400</v>
      </c>
      <c r="O28" s="355"/>
      <c r="P28" s="355">
        <f t="shared" si="13"/>
        <v>300</v>
      </c>
      <c r="Q28" s="355"/>
      <c r="R28" s="355">
        <f t="shared" si="12"/>
        <v>100</v>
      </c>
      <c r="S28" s="159"/>
      <c r="T28" s="159"/>
      <c r="U28" s="159"/>
      <c r="V28" s="159"/>
      <c r="W28" s="159"/>
      <c r="X28" s="159">
        <f t="shared" si="2"/>
        <v>15</v>
      </c>
      <c r="Y28" s="159">
        <f t="shared" si="3"/>
        <v>20</v>
      </c>
      <c r="Z28" s="159"/>
      <c r="AA28" s="159"/>
    </row>
    <row r="29" spans="1:27" s="166" customFormat="1" ht="12">
      <c r="A29" s="160"/>
      <c r="B29" s="160" t="s">
        <v>271</v>
      </c>
      <c r="C29" s="354">
        <f>+C30+C31+C32+C33</f>
        <v>11340</v>
      </c>
      <c r="D29" s="354">
        <f>SUM(D30:D33)</f>
        <v>5809.9317499999997</v>
      </c>
      <c r="E29" s="354">
        <f>SUM(E30:E33)</f>
        <v>480</v>
      </c>
      <c r="F29" s="354">
        <f t="shared" ref="F29:W29" si="14">SUM(F30:F33)</f>
        <v>1175</v>
      </c>
      <c r="G29" s="354">
        <f t="shared" si="14"/>
        <v>1506.9</v>
      </c>
      <c r="H29" s="354">
        <f t="shared" si="14"/>
        <v>2648.0317500000001</v>
      </c>
      <c r="I29" s="354">
        <f t="shared" si="14"/>
        <v>0</v>
      </c>
      <c r="J29" s="354">
        <f t="shared" si="14"/>
        <v>0</v>
      </c>
      <c r="K29" s="354">
        <f t="shared" si="14"/>
        <v>0</v>
      </c>
      <c r="L29" s="354">
        <f t="shared" si="14"/>
        <v>0</v>
      </c>
      <c r="M29" s="354">
        <f t="shared" si="14"/>
        <v>0</v>
      </c>
      <c r="N29" s="354">
        <f t="shared" si="14"/>
        <v>5809.9317499999997</v>
      </c>
      <c r="O29" s="354">
        <f>SUM(O30:O33)</f>
        <v>480</v>
      </c>
      <c r="P29" s="354">
        <f>SUM(P30:P33)</f>
        <v>1175</v>
      </c>
      <c r="Q29" s="354">
        <f>SUM(Q30:Q33)</f>
        <v>1506.9</v>
      </c>
      <c r="R29" s="354">
        <f t="shared" si="14"/>
        <v>2648.0317500000001</v>
      </c>
      <c r="S29" s="160">
        <f t="shared" si="14"/>
        <v>0</v>
      </c>
      <c r="T29" s="160">
        <f t="shared" si="14"/>
        <v>0</v>
      </c>
      <c r="U29" s="160">
        <f t="shared" si="14"/>
        <v>0</v>
      </c>
      <c r="V29" s="160">
        <f t="shared" si="14"/>
        <v>0</v>
      </c>
      <c r="W29" s="160">
        <f t="shared" si="14"/>
        <v>0</v>
      </c>
      <c r="X29" s="255">
        <f t="shared" si="2"/>
        <v>14.594356261022929</v>
      </c>
      <c r="Y29" s="255">
        <f t="shared" si="3"/>
        <v>51.233966049382715</v>
      </c>
      <c r="Z29" s="165"/>
      <c r="AA29" s="165"/>
    </row>
    <row r="30" spans="1:27" s="167" customFormat="1" ht="12">
      <c r="A30" s="158" t="s">
        <v>1</v>
      </c>
      <c r="B30" s="159" t="s">
        <v>468</v>
      </c>
      <c r="C30" s="355">
        <v>3000</v>
      </c>
      <c r="D30" s="355">
        <f>SUM(E30:M30)</f>
        <v>1400</v>
      </c>
      <c r="E30" s="355"/>
      <c r="F30" s="355">
        <v>900</v>
      </c>
      <c r="G30" s="355">
        <v>200</v>
      </c>
      <c r="H30" s="355">
        <v>300</v>
      </c>
      <c r="I30" s="355"/>
      <c r="J30" s="355"/>
      <c r="K30" s="355"/>
      <c r="L30" s="355"/>
      <c r="M30" s="355"/>
      <c r="N30" s="355">
        <f>SUM(O30:R30)</f>
        <v>1400</v>
      </c>
      <c r="O30" s="355"/>
      <c r="P30" s="355">
        <f>+F30</f>
        <v>900</v>
      </c>
      <c r="Q30" s="355">
        <f>+G30</f>
        <v>200</v>
      </c>
      <c r="R30" s="355">
        <f>+H30</f>
        <v>300</v>
      </c>
      <c r="S30" s="159"/>
      <c r="T30" s="159"/>
      <c r="U30" s="159"/>
      <c r="V30" s="159"/>
      <c r="W30" s="159"/>
      <c r="X30" s="159">
        <f t="shared" si="2"/>
        <v>30</v>
      </c>
      <c r="Y30" s="159">
        <f t="shared" si="3"/>
        <v>46.666666666666664</v>
      </c>
      <c r="Z30" s="159"/>
      <c r="AA30" s="159"/>
    </row>
    <row r="31" spans="1:27" s="167" customFormat="1" ht="26.4" customHeight="1">
      <c r="A31" s="158" t="s">
        <v>1</v>
      </c>
      <c r="B31" s="159" t="s">
        <v>470</v>
      </c>
      <c r="C31" s="355">
        <v>600</v>
      </c>
      <c r="D31" s="355">
        <f t="shared" ref="D31:D33" si="15">SUM(E31:M31)</f>
        <v>300</v>
      </c>
      <c r="E31" s="355"/>
      <c r="F31" s="355">
        <v>275</v>
      </c>
      <c r="G31" s="355"/>
      <c r="H31" s="355">
        <v>25</v>
      </c>
      <c r="I31" s="355"/>
      <c r="J31" s="355"/>
      <c r="K31" s="355"/>
      <c r="L31" s="355"/>
      <c r="M31" s="355"/>
      <c r="N31" s="355">
        <f t="shared" ref="N31:N33" si="16">SUM(O31:R31)</f>
        <v>300</v>
      </c>
      <c r="O31" s="355"/>
      <c r="P31" s="355">
        <f>+F31</f>
        <v>275</v>
      </c>
      <c r="Q31" s="355"/>
      <c r="R31" s="355">
        <f t="shared" ref="R31:R33" si="17">+H31</f>
        <v>25</v>
      </c>
      <c r="S31" s="159"/>
      <c r="T31" s="159"/>
      <c r="U31" s="159"/>
      <c r="V31" s="159"/>
      <c r="W31" s="159"/>
      <c r="X31" s="159">
        <f t="shared" si="2"/>
        <v>45.833333333333329</v>
      </c>
      <c r="Y31" s="159">
        <f t="shared" si="3"/>
        <v>50</v>
      </c>
      <c r="Z31" s="159"/>
      <c r="AA31" s="159"/>
    </row>
    <row r="32" spans="1:27" s="167" customFormat="1" ht="26.4" customHeight="1">
      <c r="A32" s="158" t="s">
        <v>1</v>
      </c>
      <c r="B32" s="159" t="s">
        <v>471</v>
      </c>
      <c r="C32" s="355">
        <v>7260</v>
      </c>
      <c r="D32" s="355">
        <f t="shared" si="15"/>
        <v>3629.9317500000002</v>
      </c>
      <c r="E32" s="355"/>
      <c r="F32" s="355"/>
      <c r="G32" s="355">
        <v>1306.9000000000001</v>
      </c>
      <c r="H32" s="355">
        <f>(392677750+920226000+840128000+170000000)/1000000</f>
        <v>2323.0317500000001</v>
      </c>
      <c r="I32" s="355"/>
      <c r="J32" s="355"/>
      <c r="K32" s="355"/>
      <c r="L32" s="355"/>
      <c r="M32" s="355"/>
      <c r="N32" s="355">
        <f t="shared" si="16"/>
        <v>3629.9317500000002</v>
      </c>
      <c r="O32" s="355"/>
      <c r="P32" s="355"/>
      <c r="Q32" s="355">
        <f>+G32</f>
        <v>1306.9000000000001</v>
      </c>
      <c r="R32" s="355">
        <f t="shared" si="17"/>
        <v>2323.0317500000001</v>
      </c>
      <c r="S32" s="159"/>
      <c r="T32" s="159"/>
      <c r="U32" s="159"/>
      <c r="V32" s="159"/>
      <c r="W32" s="159"/>
      <c r="X32" s="159">
        <f t="shared" si="2"/>
        <v>0</v>
      </c>
      <c r="Y32" s="159">
        <f t="shared" si="3"/>
        <v>49.999059917355375</v>
      </c>
      <c r="Z32" s="159"/>
      <c r="AA32" s="159"/>
    </row>
    <row r="33" spans="1:27" s="167" customFormat="1" ht="26.4" customHeight="1">
      <c r="A33" s="158" t="s">
        <v>1</v>
      </c>
      <c r="B33" s="159" t="s">
        <v>469</v>
      </c>
      <c r="C33" s="355">
        <v>480</v>
      </c>
      <c r="D33" s="355">
        <f t="shared" si="15"/>
        <v>480</v>
      </c>
      <c r="E33" s="355">
        <v>480</v>
      </c>
      <c r="F33" s="355"/>
      <c r="G33" s="355"/>
      <c r="H33" s="355"/>
      <c r="I33" s="355"/>
      <c r="J33" s="355"/>
      <c r="K33" s="355"/>
      <c r="L33" s="355"/>
      <c r="M33" s="355"/>
      <c r="N33" s="355">
        <f t="shared" si="16"/>
        <v>480</v>
      </c>
      <c r="O33" s="355">
        <f>+E33</f>
        <v>480</v>
      </c>
      <c r="P33" s="355"/>
      <c r="Q33" s="355"/>
      <c r="R33" s="355">
        <f t="shared" si="17"/>
        <v>0</v>
      </c>
      <c r="S33" s="159"/>
      <c r="T33" s="159"/>
      <c r="U33" s="159"/>
      <c r="V33" s="159"/>
      <c r="W33" s="159"/>
      <c r="X33" s="159">
        <f t="shared" si="2"/>
        <v>100</v>
      </c>
      <c r="Y33" s="159">
        <f t="shared" si="3"/>
        <v>100</v>
      </c>
      <c r="Z33" s="159"/>
      <c r="AA33" s="159"/>
    </row>
    <row r="34" spans="1:27" s="166" customFormat="1" ht="12">
      <c r="A34" s="160"/>
      <c r="B34" s="160" t="s">
        <v>272</v>
      </c>
      <c r="C34" s="354">
        <f>+C35+C36+C37</f>
        <v>15621</v>
      </c>
      <c r="D34" s="354">
        <f t="shared" ref="D34:W34" si="18">SUM(D35:D37)</f>
        <v>7816.7584999999999</v>
      </c>
      <c r="E34" s="354">
        <f t="shared" si="18"/>
        <v>13</v>
      </c>
      <c r="F34" s="354">
        <f t="shared" si="18"/>
        <v>900</v>
      </c>
      <c r="G34" s="354">
        <f t="shared" si="18"/>
        <v>1732.2280000000001</v>
      </c>
      <c r="H34" s="354">
        <f t="shared" si="18"/>
        <v>5171.5304999999998</v>
      </c>
      <c r="I34" s="354">
        <f t="shared" si="18"/>
        <v>0</v>
      </c>
      <c r="J34" s="354">
        <f t="shared" si="18"/>
        <v>0</v>
      </c>
      <c r="K34" s="354">
        <f t="shared" si="18"/>
        <v>0</v>
      </c>
      <c r="L34" s="354">
        <f t="shared" si="18"/>
        <v>0</v>
      </c>
      <c r="M34" s="354">
        <f t="shared" si="18"/>
        <v>0</v>
      </c>
      <c r="N34" s="354">
        <f t="shared" si="18"/>
        <v>7816.7584999999999</v>
      </c>
      <c r="O34" s="354">
        <f t="shared" si="18"/>
        <v>13</v>
      </c>
      <c r="P34" s="354">
        <f t="shared" si="18"/>
        <v>900</v>
      </c>
      <c r="Q34" s="354">
        <f t="shared" si="18"/>
        <v>1732.2280000000001</v>
      </c>
      <c r="R34" s="354">
        <f t="shared" si="18"/>
        <v>5171.5304999999998</v>
      </c>
      <c r="S34" s="160">
        <f t="shared" si="18"/>
        <v>0</v>
      </c>
      <c r="T34" s="160">
        <f t="shared" si="18"/>
        <v>0</v>
      </c>
      <c r="U34" s="160">
        <f t="shared" si="18"/>
        <v>0</v>
      </c>
      <c r="V34" s="160">
        <f t="shared" si="18"/>
        <v>0</v>
      </c>
      <c r="W34" s="160">
        <f t="shared" si="18"/>
        <v>0</v>
      </c>
      <c r="X34" s="255">
        <f t="shared" si="2"/>
        <v>5.8446962422380127</v>
      </c>
      <c r="Y34" s="255">
        <f t="shared" si="3"/>
        <v>50.040064656552076</v>
      </c>
      <c r="Z34" s="165"/>
      <c r="AA34" s="165"/>
    </row>
    <row r="35" spans="1:27" s="167" customFormat="1" ht="12">
      <c r="A35" s="158" t="s">
        <v>1</v>
      </c>
      <c r="B35" s="159" t="s">
        <v>468</v>
      </c>
      <c r="C35" s="355">
        <v>4400</v>
      </c>
      <c r="D35" s="355">
        <f>SUM(E35:M35)</f>
        <v>2200</v>
      </c>
      <c r="E35" s="355"/>
      <c r="F35" s="355">
        <v>900</v>
      </c>
      <c r="G35" s="355">
        <v>800</v>
      </c>
      <c r="H35" s="355">
        <v>500</v>
      </c>
      <c r="I35" s="355"/>
      <c r="J35" s="355"/>
      <c r="K35" s="355"/>
      <c r="L35" s="355"/>
      <c r="M35" s="355"/>
      <c r="N35" s="355">
        <f>SUM(O35:R35)</f>
        <v>2200</v>
      </c>
      <c r="O35" s="355"/>
      <c r="P35" s="355">
        <f>+F35</f>
        <v>900</v>
      </c>
      <c r="Q35" s="355">
        <f>+G35</f>
        <v>800</v>
      </c>
      <c r="R35" s="355">
        <f>+H35</f>
        <v>500</v>
      </c>
      <c r="S35" s="159"/>
      <c r="T35" s="159"/>
      <c r="U35" s="159"/>
      <c r="V35" s="159"/>
      <c r="W35" s="159"/>
      <c r="X35" s="159">
        <f t="shared" si="2"/>
        <v>20.454545454545457</v>
      </c>
      <c r="Y35" s="159">
        <f t="shared" si="3"/>
        <v>50</v>
      </c>
      <c r="Z35" s="159"/>
      <c r="AA35" s="159"/>
    </row>
    <row r="36" spans="1:27" s="167" customFormat="1" ht="26.4" customHeight="1">
      <c r="A36" s="158" t="s">
        <v>1</v>
      </c>
      <c r="B36" s="159" t="s">
        <v>471</v>
      </c>
      <c r="C36" s="355">
        <v>11208</v>
      </c>
      <c r="D36" s="355">
        <f>SUM(E36:M36)</f>
        <v>5603.7584999999999</v>
      </c>
      <c r="E36" s="355"/>
      <c r="F36" s="355"/>
      <c r="G36" s="355">
        <f>(523352000+358572000+50304000)/1000000</f>
        <v>932.22799999999995</v>
      </c>
      <c r="H36" s="355">
        <f>4671530500/1000000</f>
        <v>4671.5304999999998</v>
      </c>
      <c r="I36" s="355"/>
      <c r="J36" s="355"/>
      <c r="K36" s="355"/>
      <c r="L36" s="355"/>
      <c r="M36" s="355"/>
      <c r="N36" s="355">
        <f t="shared" ref="N36:N37" si="19">SUM(O36:R36)</f>
        <v>5603.7584999999999</v>
      </c>
      <c r="O36" s="355"/>
      <c r="P36" s="355"/>
      <c r="Q36" s="355">
        <f t="shared" ref="Q36:R37" si="20">+G36</f>
        <v>932.22799999999995</v>
      </c>
      <c r="R36" s="355">
        <f t="shared" si="20"/>
        <v>4671.5304999999998</v>
      </c>
      <c r="S36" s="159"/>
      <c r="T36" s="159"/>
      <c r="U36" s="159"/>
      <c r="V36" s="159"/>
      <c r="W36" s="159"/>
      <c r="X36" s="159">
        <f t="shared" si="2"/>
        <v>0</v>
      </c>
      <c r="Y36" s="159">
        <f t="shared" si="3"/>
        <v>49.99784528907923</v>
      </c>
      <c r="Z36" s="159"/>
      <c r="AA36" s="159"/>
    </row>
    <row r="37" spans="1:27" s="167" customFormat="1" ht="26.4" customHeight="1">
      <c r="A37" s="158" t="s">
        <v>1</v>
      </c>
      <c r="B37" s="159" t="s">
        <v>469</v>
      </c>
      <c r="C37" s="355">
        <v>13</v>
      </c>
      <c r="D37" s="355">
        <f t="shared" ref="D37" si="21">SUM(E37:M37)</f>
        <v>13</v>
      </c>
      <c r="E37" s="355">
        <v>13</v>
      </c>
      <c r="F37" s="355"/>
      <c r="G37" s="355"/>
      <c r="H37" s="355"/>
      <c r="I37" s="355"/>
      <c r="J37" s="355"/>
      <c r="K37" s="355"/>
      <c r="L37" s="355"/>
      <c r="M37" s="355"/>
      <c r="N37" s="355">
        <f t="shared" si="19"/>
        <v>13</v>
      </c>
      <c r="O37" s="355">
        <f>+E37</f>
        <v>13</v>
      </c>
      <c r="P37" s="355"/>
      <c r="Q37" s="355"/>
      <c r="R37" s="355">
        <f t="shared" si="20"/>
        <v>0</v>
      </c>
      <c r="S37" s="159"/>
      <c r="T37" s="159"/>
      <c r="U37" s="159"/>
      <c r="V37" s="159"/>
      <c r="W37" s="159"/>
      <c r="X37" s="159">
        <f t="shared" si="2"/>
        <v>100</v>
      </c>
      <c r="Y37" s="159">
        <f t="shared" si="3"/>
        <v>100</v>
      </c>
      <c r="Z37" s="159"/>
      <c r="AA37" s="159"/>
    </row>
    <row r="38" spans="1:27" s="166" customFormat="1" ht="12">
      <c r="A38" s="160"/>
      <c r="B38" s="160" t="s">
        <v>273</v>
      </c>
      <c r="C38" s="354">
        <f>SUM(C39:C46)</f>
        <v>9827</v>
      </c>
      <c r="D38" s="354">
        <f t="shared" ref="C38:W38" si="22">SUM(D39:D46)</f>
        <v>4038.2939999999999</v>
      </c>
      <c r="E38" s="354">
        <f t="shared" si="22"/>
        <v>190</v>
      </c>
      <c r="F38" s="354">
        <f t="shared" si="22"/>
        <v>1333</v>
      </c>
      <c r="G38" s="354">
        <f t="shared" si="22"/>
        <v>1045.94</v>
      </c>
      <c r="H38" s="354">
        <f t="shared" si="22"/>
        <v>1469.354</v>
      </c>
      <c r="I38" s="354">
        <f t="shared" si="22"/>
        <v>0</v>
      </c>
      <c r="J38" s="354">
        <f t="shared" si="22"/>
        <v>0</v>
      </c>
      <c r="K38" s="354">
        <f t="shared" si="22"/>
        <v>0</v>
      </c>
      <c r="L38" s="354">
        <f t="shared" si="22"/>
        <v>0</v>
      </c>
      <c r="M38" s="354">
        <f t="shared" si="22"/>
        <v>0</v>
      </c>
      <c r="N38" s="354">
        <f t="shared" si="22"/>
        <v>3770.2939999999999</v>
      </c>
      <c r="O38" s="354">
        <f t="shared" si="22"/>
        <v>25</v>
      </c>
      <c r="P38" s="354">
        <f t="shared" si="22"/>
        <v>1230</v>
      </c>
      <c r="Q38" s="354">
        <f t="shared" si="22"/>
        <v>1045.94</v>
      </c>
      <c r="R38" s="354">
        <f t="shared" si="22"/>
        <v>1469.354</v>
      </c>
      <c r="S38" s="160">
        <f t="shared" si="22"/>
        <v>0</v>
      </c>
      <c r="T38" s="160">
        <f t="shared" si="22"/>
        <v>0</v>
      </c>
      <c r="U38" s="160">
        <f t="shared" si="22"/>
        <v>0</v>
      </c>
      <c r="V38" s="160">
        <f t="shared" si="22"/>
        <v>0</v>
      </c>
      <c r="W38" s="160">
        <f t="shared" si="22"/>
        <v>0</v>
      </c>
      <c r="X38" s="255">
        <f t="shared" si="2"/>
        <v>12.770937213798717</v>
      </c>
      <c r="Y38" s="255">
        <f t="shared" si="3"/>
        <v>38.366683626742649</v>
      </c>
      <c r="Z38" s="165"/>
      <c r="AA38" s="165"/>
    </row>
    <row r="39" spans="1:27" s="167" customFormat="1" ht="12">
      <c r="A39" s="158" t="s">
        <v>1</v>
      </c>
      <c r="B39" s="159" t="s">
        <v>468</v>
      </c>
      <c r="C39" s="355">
        <v>3600</v>
      </c>
      <c r="D39" s="355">
        <f>SUM(E39:M39)</f>
        <v>1200</v>
      </c>
      <c r="E39" s="355"/>
      <c r="F39" s="355">
        <v>1200</v>
      </c>
      <c r="G39" s="355"/>
      <c r="H39" s="355"/>
      <c r="I39" s="355"/>
      <c r="J39" s="355"/>
      <c r="K39" s="355"/>
      <c r="L39" s="355"/>
      <c r="M39" s="355"/>
      <c r="N39" s="355">
        <f>SUM(O39:R39)</f>
        <v>1200</v>
      </c>
      <c r="O39" s="355"/>
      <c r="P39" s="355">
        <f>+F39</f>
        <v>1200</v>
      </c>
      <c r="Q39" s="355"/>
      <c r="R39" s="355">
        <f>+H39</f>
        <v>0</v>
      </c>
      <c r="S39" s="159"/>
      <c r="T39" s="159"/>
      <c r="U39" s="159"/>
      <c r="V39" s="159"/>
      <c r="W39" s="159"/>
      <c r="X39" s="159">
        <f t="shared" si="2"/>
        <v>33.333333333333329</v>
      </c>
      <c r="Y39" s="159">
        <f t="shared" si="3"/>
        <v>33.333333333333329</v>
      </c>
      <c r="Z39" s="159"/>
      <c r="AA39" s="159"/>
    </row>
    <row r="40" spans="1:27" s="167" customFormat="1" ht="26.4" customHeight="1">
      <c r="A40" s="158" t="s">
        <v>1</v>
      </c>
      <c r="B40" s="159" t="s">
        <v>471</v>
      </c>
      <c r="C40" s="355">
        <v>5237</v>
      </c>
      <c r="D40" s="355">
        <f>SUM(E40:M40)</f>
        <v>2618.2939999999999</v>
      </c>
      <c r="E40" s="355"/>
      <c r="F40" s="355">
        <v>103</v>
      </c>
      <c r="G40" s="355">
        <f>1045940000/1000000</f>
        <v>1045.94</v>
      </c>
      <c r="H40" s="355">
        <f>1469354000/1000000</f>
        <v>1469.354</v>
      </c>
      <c r="I40" s="355"/>
      <c r="J40" s="355"/>
      <c r="K40" s="355"/>
      <c r="L40" s="355"/>
      <c r="M40" s="355"/>
      <c r="N40" s="355">
        <f t="shared" ref="N40:N46" si="23">SUM(O40:R40)</f>
        <v>2515.2939999999999</v>
      </c>
      <c r="O40" s="355"/>
      <c r="P40" s="355"/>
      <c r="Q40" s="355">
        <f>+G40</f>
        <v>1045.94</v>
      </c>
      <c r="R40" s="355">
        <f t="shared" ref="R40:R46" si="24">+H40</f>
        <v>1469.354</v>
      </c>
      <c r="S40" s="159"/>
      <c r="T40" s="159"/>
      <c r="U40" s="159"/>
      <c r="V40" s="159"/>
      <c r="W40" s="159"/>
      <c r="X40" s="159">
        <f t="shared" si="2"/>
        <v>0</v>
      </c>
      <c r="Y40" s="159">
        <f t="shared" si="3"/>
        <v>48.029291579148364</v>
      </c>
      <c r="Z40" s="159"/>
      <c r="AA40" s="159"/>
    </row>
    <row r="41" spans="1:27" s="167" customFormat="1" ht="12">
      <c r="A41" s="158" t="s">
        <v>1</v>
      </c>
      <c r="B41" s="159" t="s">
        <v>472</v>
      </c>
      <c r="C41" s="355">
        <v>100</v>
      </c>
      <c r="D41" s="355">
        <f t="shared" ref="D41:D46" si="25">SUM(E41:M41)</f>
        <v>30</v>
      </c>
      <c r="E41" s="355"/>
      <c r="F41" s="355">
        <v>30</v>
      </c>
      <c r="G41" s="355"/>
      <c r="H41" s="355"/>
      <c r="I41" s="355"/>
      <c r="J41" s="355"/>
      <c r="K41" s="355"/>
      <c r="L41" s="355"/>
      <c r="M41" s="355"/>
      <c r="N41" s="355">
        <f t="shared" si="23"/>
        <v>30</v>
      </c>
      <c r="O41" s="355"/>
      <c r="P41" s="355">
        <f>+F41</f>
        <v>30</v>
      </c>
      <c r="Q41" s="355"/>
      <c r="R41" s="355">
        <f t="shared" si="24"/>
        <v>0</v>
      </c>
      <c r="S41" s="159"/>
      <c r="T41" s="159"/>
      <c r="U41" s="159"/>
      <c r="V41" s="159"/>
      <c r="W41" s="159"/>
      <c r="X41" s="159">
        <f t="shared" si="2"/>
        <v>30</v>
      </c>
      <c r="Y41" s="159">
        <f t="shared" si="3"/>
        <v>30</v>
      </c>
      <c r="Z41" s="159"/>
      <c r="AA41" s="159"/>
    </row>
    <row r="42" spans="1:27" s="167" customFormat="1" ht="12">
      <c r="A42" s="158" t="s">
        <v>1</v>
      </c>
      <c r="B42" s="159" t="s">
        <v>473</v>
      </c>
      <c r="C42" s="355">
        <v>100</v>
      </c>
      <c r="D42" s="355">
        <f t="shared" si="25"/>
        <v>50</v>
      </c>
      <c r="E42" s="355">
        <v>50</v>
      </c>
      <c r="F42" s="355"/>
      <c r="G42" s="355"/>
      <c r="H42" s="355"/>
      <c r="I42" s="355"/>
      <c r="J42" s="355"/>
      <c r="K42" s="355"/>
      <c r="L42" s="355"/>
      <c r="M42" s="355"/>
      <c r="N42" s="355">
        <f t="shared" si="23"/>
        <v>0</v>
      </c>
      <c r="O42" s="355"/>
      <c r="P42" s="355"/>
      <c r="Q42" s="355"/>
      <c r="R42" s="355">
        <f t="shared" si="24"/>
        <v>0</v>
      </c>
      <c r="S42" s="159"/>
      <c r="T42" s="159"/>
      <c r="U42" s="159"/>
      <c r="V42" s="159"/>
      <c r="W42" s="159"/>
      <c r="X42" s="159">
        <f t="shared" si="2"/>
        <v>0</v>
      </c>
      <c r="Y42" s="159">
        <f t="shared" si="3"/>
        <v>0</v>
      </c>
      <c r="Z42" s="159"/>
      <c r="AA42" s="159"/>
    </row>
    <row r="43" spans="1:27" s="167" customFormat="1" ht="12">
      <c r="A43" s="158" t="s">
        <v>1</v>
      </c>
      <c r="B43" s="159" t="s">
        <v>474</v>
      </c>
      <c r="C43" s="355">
        <v>650</v>
      </c>
      <c r="D43" s="355">
        <f t="shared" si="25"/>
        <v>100</v>
      </c>
      <c r="E43" s="355">
        <v>100</v>
      </c>
      <c r="F43" s="355"/>
      <c r="G43" s="355"/>
      <c r="H43" s="355"/>
      <c r="I43" s="355"/>
      <c r="J43" s="355"/>
      <c r="K43" s="355"/>
      <c r="L43" s="355"/>
      <c r="M43" s="355"/>
      <c r="N43" s="355">
        <f t="shared" si="23"/>
        <v>0</v>
      </c>
      <c r="O43" s="355"/>
      <c r="P43" s="355"/>
      <c r="Q43" s="355"/>
      <c r="R43" s="355">
        <f t="shared" si="24"/>
        <v>0</v>
      </c>
      <c r="S43" s="159"/>
      <c r="T43" s="159"/>
      <c r="U43" s="159"/>
      <c r="V43" s="159"/>
      <c r="W43" s="159"/>
      <c r="X43" s="159">
        <f t="shared" si="2"/>
        <v>0</v>
      </c>
      <c r="Y43" s="159">
        <f t="shared" si="3"/>
        <v>0</v>
      </c>
      <c r="Z43" s="159"/>
      <c r="AA43" s="159"/>
    </row>
    <row r="44" spans="1:27" s="167" customFormat="1" ht="26.4" customHeight="1">
      <c r="A44" s="158" t="s">
        <v>1</v>
      </c>
      <c r="B44" s="159" t="s">
        <v>475</v>
      </c>
      <c r="C44" s="355">
        <v>20</v>
      </c>
      <c r="D44" s="355">
        <f t="shared" si="25"/>
        <v>5</v>
      </c>
      <c r="E44" s="355">
        <v>5</v>
      </c>
      <c r="F44" s="355"/>
      <c r="G44" s="355"/>
      <c r="H44" s="355"/>
      <c r="I44" s="355"/>
      <c r="J44" s="355"/>
      <c r="K44" s="355"/>
      <c r="L44" s="355"/>
      <c r="M44" s="355"/>
      <c r="N44" s="355">
        <f t="shared" si="23"/>
        <v>0</v>
      </c>
      <c r="O44" s="355"/>
      <c r="P44" s="355"/>
      <c r="Q44" s="355"/>
      <c r="R44" s="355">
        <f t="shared" si="24"/>
        <v>0</v>
      </c>
      <c r="S44" s="159"/>
      <c r="T44" s="159"/>
      <c r="U44" s="159"/>
      <c r="V44" s="159"/>
      <c r="W44" s="159"/>
      <c r="X44" s="159">
        <f t="shared" si="2"/>
        <v>0</v>
      </c>
      <c r="Y44" s="159">
        <f t="shared" si="3"/>
        <v>0</v>
      </c>
      <c r="Z44" s="159"/>
      <c r="AA44" s="159"/>
    </row>
    <row r="45" spans="1:27" s="167" customFormat="1" ht="12">
      <c r="A45" s="158" t="s">
        <v>1</v>
      </c>
      <c r="B45" s="159" t="s">
        <v>476</v>
      </c>
      <c r="C45" s="355">
        <v>20</v>
      </c>
      <c r="D45" s="355">
        <f t="shared" si="25"/>
        <v>10</v>
      </c>
      <c r="E45" s="355">
        <v>10</v>
      </c>
      <c r="F45" s="355"/>
      <c r="G45" s="355"/>
      <c r="H45" s="355"/>
      <c r="I45" s="355"/>
      <c r="J45" s="355"/>
      <c r="K45" s="355"/>
      <c r="L45" s="355"/>
      <c r="M45" s="355"/>
      <c r="N45" s="355">
        <f t="shared" si="23"/>
        <v>0</v>
      </c>
      <c r="O45" s="355"/>
      <c r="P45" s="355"/>
      <c r="Q45" s="355"/>
      <c r="R45" s="355">
        <f t="shared" si="24"/>
        <v>0</v>
      </c>
      <c r="S45" s="159"/>
      <c r="T45" s="159"/>
      <c r="U45" s="159"/>
      <c r="V45" s="159"/>
      <c r="W45" s="159"/>
      <c r="X45" s="159">
        <f t="shared" si="2"/>
        <v>0</v>
      </c>
      <c r="Y45" s="159">
        <f t="shared" si="3"/>
        <v>0</v>
      </c>
      <c r="Z45" s="159"/>
      <c r="AA45" s="159"/>
    </row>
    <row r="46" spans="1:27" s="167" customFormat="1" ht="26.4" customHeight="1">
      <c r="A46" s="158" t="s">
        <v>1</v>
      </c>
      <c r="B46" s="159" t="s">
        <v>477</v>
      </c>
      <c r="C46" s="355">
        <v>100</v>
      </c>
      <c r="D46" s="355">
        <f t="shared" si="25"/>
        <v>25</v>
      </c>
      <c r="E46" s="355">
        <v>25</v>
      </c>
      <c r="F46" s="355"/>
      <c r="G46" s="355"/>
      <c r="H46" s="355"/>
      <c r="I46" s="355"/>
      <c r="J46" s="355"/>
      <c r="K46" s="355"/>
      <c r="L46" s="355"/>
      <c r="M46" s="355"/>
      <c r="N46" s="355">
        <f t="shared" si="23"/>
        <v>25</v>
      </c>
      <c r="O46" s="355">
        <f t="shared" ref="O46" si="26">+E46</f>
        <v>25</v>
      </c>
      <c r="P46" s="355"/>
      <c r="Q46" s="355"/>
      <c r="R46" s="355">
        <f t="shared" si="24"/>
        <v>0</v>
      </c>
      <c r="S46" s="159"/>
      <c r="T46" s="159"/>
      <c r="U46" s="159"/>
      <c r="V46" s="159"/>
      <c r="W46" s="159"/>
      <c r="X46" s="159">
        <f t="shared" si="2"/>
        <v>25</v>
      </c>
      <c r="Y46" s="159">
        <f t="shared" si="3"/>
        <v>25</v>
      </c>
      <c r="Z46" s="159"/>
      <c r="AA46" s="159"/>
    </row>
  </sheetData>
  <mergeCells count="21">
    <mergeCell ref="Y3:Z3"/>
    <mergeCell ref="S7:V8"/>
    <mergeCell ref="A6:A9"/>
    <mergeCell ref="B6:B9"/>
    <mergeCell ref="C6:C9"/>
    <mergeCell ref="D6:M6"/>
    <mergeCell ref="N6:W6"/>
    <mergeCell ref="W7:W9"/>
    <mergeCell ref="Z8:Z9"/>
    <mergeCell ref="O7:R8"/>
    <mergeCell ref="D7:D9"/>
    <mergeCell ref="E7:H8"/>
    <mergeCell ref="I7:L8"/>
    <mergeCell ref="M7:M9"/>
    <mergeCell ref="N7:N9"/>
    <mergeCell ref="AA8:AA9"/>
    <mergeCell ref="A4:AA4"/>
    <mergeCell ref="X8:X9"/>
    <mergeCell ref="Y8:Y9"/>
    <mergeCell ref="X6:Y7"/>
    <mergeCell ref="Z6:AA7"/>
  </mergeCells>
  <printOptions horizontalCentered="1"/>
  <pageMargins left="0" right="0" top="0.31496062992126" bottom="0.5" header="0.31496062992126" footer="0.31496062992126"/>
  <pageSetup paperSize="9" scale="70" orientation="landscape"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16"/>
  <sheetViews>
    <sheetView zoomScale="90" zoomScaleNormal="90" workbookViewId="0">
      <pane xSplit="2" ySplit="6" topLeftCell="C16" activePane="bottomRight" state="frozen"/>
      <selection pane="topRight" activeCell="C1" sqref="C1"/>
      <selection pane="bottomLeft" activeCell="A7" sqref="A7"/>
      <selection pane="bottomRight" activeCell="C24" sqref="C24"/>
    </sheetView>
  </sheetViews>
  <sheetFormatPr defaultRowHeight="15.6"/>
  <cols>
    <col min="1" max="1" width="6.09765625" style="11" customWidth="1"/>
    <col min="2" max="2" width="42.19921875" style="11" customWidth="1"/>
    <col min="3" max="3" width="14.09765625" style="11" customWidth="1"/>
    <col min="4" max="4" width="23.09765625" style="11" customWidth="1"/>
    <col min="5" max="256" width="9" style="11"/>
    <col min="257" max="257" width="4.5" style="11" customWidth="1"/>
    <col min="258" max="258" width="39.69921875" style="11" customWidth="1"/>
    <col min="259" max="259" width="14.09765625" style="11" customWidth="1"/>
    <col min="260" max="260" width="22" style="11" customWidth="1"/>
    <col min="261" max="512" width="9" style="11"/>
    <col min="513" max="513" width="4.5" style="11" customWidth="1"/>
    <col min="514" max="514" width="39.69921875" style="11" customWidth="1"/>
    <col min="515" max="515" width="14.09765625" style="11" customWidth="1"/>
    <col min="516" max="516" width="22" style="11" customWidth="1"/>
    <col min="517" max="768" width="9" style="11"/>
    <col min="769" max="769" width="4.5" style="11" customWidth="1"/>
    <col min="770" max="770" width="39.69921875" style="11" customWidth="1"/>
    <col min="771" max="771" width="14.09765625" style="11" customWidth="1"/>
    <col min="772" max="772" width="22" style="11" customWidth="1"/>
    <col min="773" max="1024" width="9" style="11"/>
    <col min="1025" max="1025" width="4.5" style="11" customWidth="1"/>
    <col min="1026" max="1026" width="39.69921875" style="11" customWidth="1"/>
    <col min="1027" max="1027" width="14.09765625" style="11" customWidth="1"/>
    <col min="1028" max="1028" width="22" style="11" customWidth="1"/>
    <col min="1029" max="1280" width="9" style="11"/>
    <col min="1281" max="1281" width="4.5" style="11" customWidth="1"/>
    <col min="1282" max="1282" width="39.69921875" style="11" customWidth="1"/>
    <col min="1283" max="1283" width="14.09765625" style="11" customWidth="1"/>
    <col min="1284" max="1284" width="22" style="11" customWidth="1"/>
    <col min="1285" max="1536" width="9" style="11"/>
    <col min="1537" max="1537" width="4.5" style="11" customWidth="1"/>
    <col min="1538" max="1538" width="39.69921875" style="11" customWidth="1"/>
    <col min="1539" max="1539" width="14.09765625" style="11" customWidth="1"/>
    <col min="1540" max="1540" width="22" style="11" customWidth="1"/>
    <col min="1541" max="1792" width="9" style="11"/>
    <col min="1793" max="1793" width="4.5" style="11" customWidth="1"/>
    <col min="1794" max="1794" width="39.69921875" style="11" customWidth="1"/>
    <col min="1795" max="1795" width="14.09765625" style="11" customWidth="1"/>
    <col min="1796" max="1796" width="22" style="11" customWidth="1"/>
    <col min="1797" max="2048" width="9" style="11"/>
    <col min="2049" max="2049" width="4.5" style="11" customWidth="1"/>
    <col min="2050" max="2050" width="39.69921875" style="11" customWidth="1"/>
    <col min="2051" max="2051" width="14.09765625" style="11" customWidth="1"/>
    <col min="2052" max="2052" width="22" style="11" customWidth="1"/>
    <col min="2053" max="2304" width="9" style="11"/>
    <col min="2305" max="2305" width="4.5" style="11" customWidth="1"/>
    <col min="2306" max="2306" width="39.69921875" style="11" customWidth="1"/>
    <col min="2307" max="2307" width="14.09765625" style="11" customWidth="1"/>
    <col min="2308" max="2308" width="22" style="11" customWidth="1"/>
    <col min="2309" max="2560" width="9" style="11"/>
    <col min="2561" max="2561" width="4.5" style="11" customWidth="1"/>
    <col min="2562" max="2562" width="39.69921875" style="11" customWidth="1"/>
    <col min="2563" max="2563" width="14.09765625" style="11" customWidth="1"/>
    <col min="2564" max="2564" width="22" style="11" customWidth="1"/>
    <col min="2565" max="2816" width="9" style="11"/>
    <col min="2817" max="2817" width="4.5" style="11" customWidth="1"/>
    <col min="2818" max="2818" width="39.69921875" style="11" customWidth="1"/>
    <col min="2819" max="2819" width="14.09765625" style="11" customWidth="1"/>
    <col min="2820" max="2820" width="22" style="11" customWidth="1"/>
    <col min="2821" max="3072" width="9" style="11"/>
    <col min="3073" max="3073" width="4.5" style="11" customWidth="1"/>
    <col min="3074" max="3074" width="39.69921875" style="11" customWidth="1"/>
    <col min="3075" max="3075" width="14.09765625" style="11" customWidth="1"/>
    <col min="3076" max="3076" width="22" style="11" customWidth="1"/>
    <col min="3077" max="3328" width="9" style="11"/>
    <col min="3329" max="3329" width="4.5" style="11" customWidth="1"/>
    <col min="3330" max="3330" width="39.69921875" style="11" customWidth="1"/>
    <col min="3331" max="3331" width="14.09765625" style="11" customWidth="1"/>
    <col min="3332" max="3332" width="22" style="11" customWidth="1"/>
    <col min="3333" max="3584" width="9" style="11"/>
    <col min="3585" max="3585" width="4.5" style="11" customWidth="1"/>
    <col min="3586" max="3586" width="39.69921875" style="11" customWidth="1"/>
    <col min="3587" max="3587" width="14.09765625" style="11" customWidth="1"/>
    <col min="3588" max="3588" width="22" style="11" customWidth="1"/>
    <col min="3589" max="3840" width="9" style="11"/>
    <col min="3841" max="3841" width="4.5" style="11" customWidth="1"/>
    <col min="3842" max="3842" width="39.69921875" style="11" customWidth="1"/>
    <col min="3843" max="3843" width="14.09765625" style="11" customWidth="1"/>
    <col min="3844" max="3844" width="22" style="11" customWidth="1"/>
    <col min="3845" max="4096" width="9" style="11"/>
    <col min="4097" max="4097" width="4.5" style="11" customWidth="1"/>
    <col min="4098" max="4098" width="39.69921875" style="11" customWidth="1"/>
    <col min="4099" max="4099" width="14.09765625" style="11" customWidth="1"/>
    <col min="4100" max="4100" width="22" style="11" customWidth="1"/>
    <col min="4101" max="4352" width="9" style="11"/>
    <col min="4353" max="4353" width="4.5" style="11" customWidth="1"/>
    <col min="4354" max="4354" width="39.69921875" style="11" customWidth="1"/>
    <col min="4355" max="4355" width="14.09765625" style="11" customWidth="1"/>
    <col min="4356" max="4356" width="22" style="11" customWidth="1"/>
    <col min="4357" max="4608" width="9" style="11"/>
    <col min="4609" max="4609" width="4.5" style="11" customWidth="1"/>
    <col min="4610" max="4610" width="39.69921875" style="11" customWidth="1"/>
    <col min="4611" max="4611" width="14.09765625" style="11" customWidth="1"/>
    <col min="4612" max="4612" width="22" style="11" customWidth="1"/>
    <col min="4613" max="4864" width="9" style="11"/>
    <col min="4865" max="4865" width="4.5" style="11" customWidth="1"/>
    <col min="4866" max="4866" width="39.69921875" style="11" customWidth="1"/>
    <col min="4867" max="4867" width="14.09765625" style="11" customWidth="1"/>
    <col min="4868" max="4868" width="22" style="11" customWidth="1"/>
    <col min="4869" max="5120" width="9" style="11"/>
    <col min="5121" max="5121" width="4.5" style="11" customWidth="1"/>
    <col min="5122" max="5122" width="39.69921875" style="11" customWidth="1"/>
    <col min="5123" max="5123" width="14.09765625" style="11" customWidth="1"/>
    <col min="5124" max="5124" width="22" style="11" customWidth="1"/>
    <col min="5125" max="5376" width="9" style="11"/>
    <col min="5377" max="5377" width="4.5" style="11" customWidth="1"/>
    <col min="5378" max="5378" width="39.69921875" style="11" customWidth="1"/>
    <col min="5379" max="5379" width="14.09765625" style="11" customWidth="1"/>
    <col min="5380" max="5380" width="22" style="11" customWidth="1"/>
    <col min="5381" max="5632" width="9" style="11"/>
    <col min="5633" max="5633" width="4.5" style="11" customWidth="1"/>
    <col min="5634" max="5634" width="39.69921875" style="11" customWidth="1"/>
    <col min="5635" max="5635" width="14.09765625" style="11" customWidth="1"/>
    <col min="5636" max="5636" width="22" style="11" customWidth="1"/>
    <col min="5637" max="5888" width="9" style="11"/>
    <col min="5889" max="5889" width="4.5" style="11" customWidth="1"/>
    <col min="5890" max="5890" width="39.69921875" style="11" customWidth="1"/>
    <col min="5891" max="5891" width="14.09765625" style="11" customWidth="1"/>
    <col min="5892" max="5892" width="22" style="11" customWidth="1"/>
    <col min="5893" max="6144" width="9" style="11"/>
    <col min="6145" max="6145" width="4.5" style="11" customWidth="1"/>
    <col min="6146" max="6146" width="39.69921875" style="11" customWidth="1"/>
    <col min="6147" max="6147" width="14.09765625" style="11" customWidth="1"/>
    <col min="6148" max="6148" width="22" style="11" customWidth="1"/>
    <col min="6149" max="6400" width="9" style="11"/>
    <col min="6401" max="6401" width="4.5" style="11" customWidth="1"/>
    <col min="6402" max="6402" width="39.69921875" style="11" customWidth="1"/>
    <col min="6403" max="6403" width="14.09765625" style="11" customWidth="1"/>
    <col min="6404" max="6404" width="22" style="11" customWidth="1"/>
    <col min="6405" max="6656" width="9" style="11"/>
    <col min="6657" max="6657" width="4.5" style="11" customWidth="1"/>
    <col min="6658" max="6658" width="39.69921875" style="11" customWidth="1"/>
    <col min="6659" max="6659" width="14.09765625" style="11" customWidth="1"/>
    <col min="6660" max="6660" width="22" style="11" customWidth="1"/>
    <col min="6661" max="6912" width="9" style="11"/>
    <col min="6913" max="6913" width="4.5" style="11" customWidth="1"/>
    <col min="6914" max="6914" width="39.69921875" style="11" customWidth="1"/>
    <col min="6915" max="6915" width="14.09765625" style="11" customWidth="1"/>
    <col min="6916" max="6916" width="22" style="11" customWidth="1"/>
    <col min="6917" max="7168" width="9" style="11"/>
    <col min="7169" max="7169" width="4.5" style="11" customWidth="1"/>
    <col min="7170" max="7170" width="39.69921875" style="11" customWidth="1"/>
    <col min="7171" max="7171" width="14.09765625" style="11" customWidth="1"/>
    <col min="7172" max="7172" width="22" style="11" customWidth="1"/>
    <col min="7173" max="7424" width="9" style="11"/>
    <col min="7425" max="7425" width="4.5" style="11" customWidth="1"/>
    <col min="7426" max="7426" width="39.69921875" style="11" customWidth="1"/>
    <col min="7427" max="7427" width="14.09765625" style="11" customWidth="1"/>
    <col min="7428" max="7428" width="22" style="11" customWidth="1"/>
    <col min="7429" max="7680" width="9" style="11"/>
    <col min="7681" max="7681" width="4.5" style="11" customWidth="1"/>
    <col min="7682" max="7682" width="39.69921875" style="11" customWidth="1"/>
    <col min="7683" max="7683" width="14.09765625" style="11" customWidth="1"/>
    <col min="7684" max="7684" width="22" style="11" customWidth="1"/>
    <col min="7685" max="7936" width="9" style="11"/>
    <col min="7937" max="7937" width="4.5" style="11" customWidth="1"/>
    <col min="7938" max="7938" width="39.69921875" style="11" customWidth="1"/>
    <col min="7939" max="7939" width="14.09765625" style="11" customWidth="1"/>
    <col min="7940" max="7940" width="22" style="11" customWidth="1"/>
    <col min="7941" max="8192" width="9" style="11"/>
    <col min="8193" max="8193" width="4.5" style="11" customWidth="1"/>
    <col min="8194" max="8194" width="39.69921875" style="11" customWidth="1"/>
    <col min="8195" max="8195" width="14.09765625" style="11" customWidth="1"/>
    <col min="8196" max="8196" width="22" style="11" customWidth="1"/>
    <col min="8197" max="8448" width="9" style="11"/>
    <col min="8449" max="8449" width="4.5" style="11" customWidth="1"/>
    <col min="8450" max="8450" width="39.69921875" style="11" customWidth="1"/>
    <col min="8451" max="8451" width="14.09765625" style="11" customWidth="1"/>
    <col min="8452" max="8452" width="22" style="11" customWidth="1"/>
    <col min="8453" max="8704" width="9" style="11"/>
    <col min="8705" max="8705" width="4.5" style="11" customWidth="1"/>
    <col min="8706" max="8706" width="39.69921875" style="11" customWidth="1"/>
    <col min="8707" max="8707" width="14.09765625" style="11" customWidth="1"/>
    <col min="8708" max="8708" width="22" style="11" customWidth="1"/>
    <col min="8709" max="8960" width="9" style="11"/>
    <col min="8961" max="8961" width="4.5" style="11" customWidth="1"/>
    <col min="8962" max="8962" width="39.69921875" style="11" customWidth="1"/>
    <col min="8963" max="8963" width="14.09765625" style="11" customWidth="1"/>
    <col min="8964" max="8964" width="22" style="11" customWidth="1"/>
    <col min="8965" max="9216" width="9" style="11"/>
    <col min="9217" max="9217" width="4.5" style="11" customWidth="1"/>
    <col min="9218" max="9218" width="39.69921875" style="11" customWidth="1"/>
    <col min="9219" max="9219" width="14.09765625" style="11" customWidth="1"/>
    <col min="9220" max="9220" width="22" style="11" customWidth="1"/>
    <col min="9221" max="9472" width="9" style="11"/>
    <col min="9473" max="9473" width="4.5" style="11" customWidth="1"/>
    <col min="9474" max="9474" width="39.69921875" style="11" customWidth="1"/>
    <col min="9475" max="9475" width="14.09765625" style="11" customWidth="1"/>
    <col min="9476" max="9476" width="22" style="11" customWidth="1"/>
    <col min="9477" max="9728" width="9" style="11"/>
    <col min="9729" max="9729" width="4.5" style="11" customWidth="1"/>
    <col min="9730" max="9730" width="39.69921875" style="11" customWidth="1"/>
    <col min="9731" max="9731" width="14.09765625" style="11" customWidth="1"/>
    <col min="9732" max="9732" width="22" style="11" customWidth="1"/>
    <col min="9733" max="9984" width="9" style="11"/>
    <col min="9985" max="9985" width="4.5" style="11" customWidth="1"/>
    <col min="9986" max="9986" width="39.69921875" style="11" customWidth="1"/>
    <col min="9987" max="9987" width="14.09765625" style="11" customWidth="1"/>
    <col min="9988" max="9988" width="22" style="11" customWidth="1"/>
    <col min="9989" max="10240" width="9" style="11"/>
    <col min="10241" max="10241" width="4.5" style="11" customWidth="1"/>
    <col min="10242" max="10242" width="39.69921875" style="11" customWidth="1"/>
    <col min="10243" max="10243" width="14.09765625" style="11" customWidth="1"/>
    <col min="10244" max="10244" width="22" style="11" customWidth="1"/>
    <col min="10245" max="10496" width="9" style="11"/>
    <col min="10497" max="10497" width="4.5" style="11" customWidth="1"/>
    <col min="10498" max="10498" width="39.69921875" style="11" customWidth="1"/>
    <col min="10499" max="10499" width="14.09765625" style="11" customWidth="1"/>
    <col min="10500" max="10500" width="22" style="11" customWidth="1"/>
    <col min="10501" max="10752" width="9" style="11"/>
    <col min="10753" max="10753" width="4.5" style="11" customWidth="1"/>
    <col min="10754" max="10754" width="39.69921875" style="11" customWidth="1"/>
    <col min="10755" max="10755" width="14.09765625" style="11" customWidth="1"/>
    <col min="10756" max="10756" width="22" style="11" customWidth="1"/>
    <col min="10757" max="11008" width="9" style="11"/>
    <col min="11009" max="11009" width="4.5" style="11" customWidth="1"/>
    <col min="11010" max="11010" width="39.69921875" style="11" customWidth="1"/>
    <col min="11011" max="11011" width="14.09765625" style="11" customWidth="1"/>
    <col min="11012" max="11012" width="22" style="11" customWidth="1"/>
    <col min="11013" max="11264" width="9" style="11"/>
    <col min="11265" max="11265" width="4.5" style="11" customWidth="1"/>
    <col min="11266" max="11266" width="39.69921875" style="11" customWidth="1"/>
    <col min="11267" max="11267" width="14.09765625" style="11" customWidth="1"/>
    <col min="11268" max="11268" width="22" style="11" customWidth="1"/>
    <col min="11269" max="11520" width="9" style="11"/>
    <col min="11521" max="11521" width="4.5" style="11" customWidth="1"/>
    <col min="11522" max="11522" width="39.69921875" style="11" customWidth="1"/>
    <col min="11523" max="11523" width="14.09765625" style="11" customWidth="1"/>
    <col min="11524" max="11524" width="22" style="11" customWidth="1"/>
    <col min="11525" max="11776" width="9" style="11"/>
    <col min="11777" max="11777" width="4.5" style="11" customWidth="1"/>
    <col min="11778" max="11778" width="39.69921875" style="11" customWidth="1"/>
    <col min="11779" max="11779" width="14.09765625" style="11" customWidth="1"/>
    <col min="11780" max="11780" width="22" style="11" customWidth="1"/>
    <col min="11781" max="12032" width="9" style="11"/>
    <col min="12033" max="12033" width="4.5" style="11" customWidth="1"/>
    <col min="12034" max="12034" width="39.69921875" style="11" customWidth="1"/>
    <col min="12035" max="12035" width="14.09765625" style="11" customWidth="1"/>
    <col min="12036" max="12036" width="22" style="11" customWidth="1"/>
    <col min="12037" max="12288" width="9" style="11"/>
    <col min="12289" max="12289" width="4.5" style="11" customWidth="1"/>
    <col min="12290" max="12290" width="39.69921875" style="11" customWidth="1"/>
    <col min="12291" max="12291" width="14.09765625" style="11" customWidth="1"/>
    <col min="12292" max="12292" width="22" style="11" customWidth="1"/>
    <col min="12293" max="12544" width="9" style="11"/>
    <col min="12545" max="12545" width="4.5" style="11" customWidth="1"/>
    <col min="12546" max="12546" width="39.69921875" style="11" customWidth="1"/>
    <col min="12547" max="12547" width="14.09765625" style="11" customWidth="1"/>
    <col min="12548" max="12548" width="22" style="11" customWidth="1"/>
    <col min="12549" max="12800" width="9" style="11"/>
    <col min="12801" max="12801" width="4.5" style="11" customWidth="1"/>
    <col min="12802" max="12802" width="39.69921875" style="11" customWidth="1"/>
    <col min="12803" max="12803" width="14.09765625" style="11" customWidth="1"/>
    <col min="12804" max="12804" width="22" style="11" customWidth="1"/>
    <col min="12805" max="13056" width="9" style="11"/>
    <col min="13057" max="13057" width="4.5" style="11" customWidth="1"/>
    <col min="13058" max="13058" width="39.69921875" style="11" customWidth="1"/>
    <col min="13059" max="13059" width="14.09765625" style="11" customWidth="1"/>
    <col min="13060" max="13060" width="22" style="11" customWidth="1"/>
    <col min="13061" max="13312" width="9" style="11"/>
    <col min="13313" max="13313" width="4.5" style="11" customWidth="1"/>
    <col min="13314" max="13314" width="39.69921875" style="11" customWidth="1"/>
    <col min="13315" max="13315" width="14.09765625" style="11" customWidth="1"/>
    <col min="13316" max="13316" width="22" style="11" customWidth="1"/>
    <col min="13317" max="13568" width="9" style="11"/>
    <col min="13569" max="13569" width="4.5" style="11" customWidth="1"/>
    <col min="13570" max="13570" width="39.69921875" style="11" customWidth="1"/>
    <col min="13571" max="13571" width="14.09765625" style="11" customWidth="1"/>
    <col min="13572" max="13572" width="22" style="11" customWidth="1"/>
    <col min="13573" max="13824" width="9" style="11"/>
    <col min="13825" max="13825" width="4.5" style="11" customWidth="1"/>
    <col min="13826" max="13826" width="39.69921875" style="11" customWidth="1"/>
    <col min="13827" max="13827" width="14.09765625" style="11" customWidth="1"/>
    <col min="13828" max="13828" width="22" style="11" customWidth="1"/>
    <col min="13829" max="14080" width="9" style="11"/>
    <col min="14081" max="14081" width="4.5" style="11" customWidth="1"/>
    <col min="14082" max="14082" width="39.69921875" style="11" customWidth="1"/>
    <col min="14083" max="14083" width="14.09765625" style="11" customWidth="1"/>
    <col min="14084" max="14084" width="22" style="11" customWidth="1"/>
    <col min="14085" max="14336" width="9" style="11"/>
    <col min="14337" max="14337" width="4.5" style="11" customWidth="1"/>
    <col min="14338" max="14338" width="39.69921875" style="11" customWidth="1"/>
    <col min="14339" max="14339" width="14.09765625" style="11" customWidth="1"/>
    <col min="14340" max="14340" width="22" style="11" customWidth="1"/>
    <col min="14341" max="14592" width="9" style="11"/>
    <col min="14593" max="14593" width="4.5" style="11" customWidth="1"/>
    <col min="14594" max="14594" width="39.69921875" style="11" customWidth="1"/>
    <col min="14595" max="14595" width="14.09765625" style="11" customWidth="1"/>
    <col min="14596" max="14596" width="22" style="11" customWidth="1"/>
    <col min="14597" max="14848" width="9" style="11"/>
    <col min="14849" max="14849" width="4.5" style="11" customWidth="1"/>
    <col min="14850" max="14850" width="39.69921875" style="11" customWidth="1"/>
    <col min="14851" max="14851" width="14.09765625" style="11" customWidth="1"/>
    <col min="14852" max="14852" width="22" style="11" customWidth="1"/>
    <col min="14853" max="15104" width="9" style="11"/>
    <col min="15105" max="15105" width="4.5" style="11" customWidth="1"/>
    <col min="15106" max="15106" width="39.69921875" style="11" customWidth="1"/>
    <col min="15107" max="15107" width="14.09765625" style="11" customWidth="1"/>
    <col min="15108" max="15108" width="22" style="11" customWidth="1"/>
    <col min="15109" max="15360" width="9" style="11"/>
    <col min="15361" max="15361" width="4.5" style="11" customWidth="1"/>
    <col min="15362" max="15362" width="39.69921875" style="11" customWidth="1"/>
    <col min="15363" max="15363" width="14.09765625" style="11" customWidth="1"/>
    <col min="15364" max="15364" width="22" style="11" customWidth="1"/>
    <col min="15365" max="15616" width="9" style="11"/>
    <col min="15617" max="15617" width="4.5" style="11" customWidth="1"/>
    <col min="15618" max="15618" width="39.69921875" style="11" customWidth="1"/>
    <col min="15619" max="15619" width="14.09765625" style="11" customWidth="1"/>
    <col min="15620" max="15620" width="22" style="11" customWidth="1"/>
    <col min="15621" max="15872" width="9" style="11"/>
    <col min="15873" max="15873" width="4.5" style="11" customWidth="1"/>
    <col min="15874" max="15874" width="39.69921875" style="11" customWidth="1"/>
    <col min="15875" max="15875" width="14.09765625" style="11" customWidth="1"/>
    <col min="15876" max="15876" width="22" style="11" customWidth="1"/>
    <col min="15877" max="16128" width="9" style="11"/>
    <col min="16129" max="16129" width="4.5" style="11" customWidth="1"/>
    <col min="16130" max="16130" width="39.69921875" style="11" customWidth="1"/>
    <col min="16131" max="16131" width="14.09765625" style="11" customWidth="1"/>
    <col min="16132" max="16132" width="22" style="11" customWidth="1"/>
    <col min="16133" max="16384" width="9" style="11"/>
  </cols>
  <sheetData>
    <row r="1" spans="1:4" s="26" customFormat="1">
      <c r="A1" s="24" t="s">
        <v>30</v>
      </c>
      <c r="D1" s="15" t="s">
        <v>25</v>
      </c>
    </row>
    <row r="2" spans="1:4" s="26" customFormat="1" ht="6" customHeight="1">
      <c r="A2" s="24"/>
      <c r="D2" s="47"/>
    </row>
    <row r="3" spans="1:4" s="26" customFormat="1" ht="31.5" customHeight="1">
      <c r="A3" s="384" t="s">
        <v>65</v>
      </c>
      <c r="B3" s="384"/>
      <c r="C3" s="384"/>
      <c r="D3" s="384"/>
    </row>
    <row r="4" spans="1:4" s="26" customFormat="1">
      <c r="A4" s="383" t="e">
        <f>+'BS 01.Giai ngan'!#REF!</f>
        <v>#REF!</v>
      </c>
      <c r="B4" s="383"/>
      <c r="C4" s="383"/>
      <c r="D4" s="383"/>
    </row>
    <row r="5" spans="1:4" s="26" customFormat="1" ht="20.25" customHeight="1">
      <c r="D5" s="47" t="s">
        <v>15</v>
      </c>
    </row>
    <row r="6" spans="1:4" s="22" customFormat="1" ht="21.75" customHeight="1">
      <c r="A6" s="23" t="s">
        <v>9</v>
      </c>
      <c r="B6" s="23" t="s">
        <v>8</v>
      </c>
      <c r="C6" s="23" t="s">
        <v>27</v>
      </c>
      <c r="D6" s="23" t="s">
        <v>24</v>
      </c>
    </row>
    <row r="7" spans="1:4" s="27" customFormat="1" ht="16.5" customHeight="1">
      <c r="A7" s="23"/>
      <c r="B7" s="23" t="s">
        <v>50</v>
      </c>
      <c r="C7" s="23"/>
      <c r="D7" s="23"/>
    </row>
    <row r="8" spans="1:4" s="13" customFormat="1" ht="16.5" customHeight="1">
      <c r="A8" s="29">
        <v>1</v>
      </c>
      <c r="B8" s="30" t="s">
        <v>31</v>
      </c>
      <c r="C8" s="30"/>
      <c r="D8" s="30"/>
    </row>
    <row r="9" spans="1:4" s="13" customFormat="1" ht="16.5" customHeight="1">
      <c r="A9" s="29" t="s">
        <v>1</v>
      </c>
      <c r="B9" s="30" t="s">
        <v>2</v>
      </c>
      <c r="C9" s="30"/>
      <c r="D9" s="30"/>
    </row>
    <row r="10" spans="1:4" s="13" customFormat="1" ht="16.5" customHeight="1">
      <c r="A10" s="29" t="s">
        <v>1</v>
      </c>
      <c r="B10" s="30" t="s">
        <v>0</v>
      </c>
      <c r="C10" s="30"/>
      <c r="D10" s="30"/>
    </row>
    <row r="11" spans="1:4" s="13" customFormat="1" ht="16.5" customHeight="1">
      <c r="A11" s="29">
        <v>2</v>
      </c>
      <c r="B11" s="30" t="s">
        <v>38</v>
      </c>
      <c r="C11" s="30"/>
      <c r="D11" s="30"/>
    </row>
    <row r="12" spans="1:4" s="13" customFormat="1" ht="16.5" customHeight="1">
      <c r="A12" s="29" t="s">
        <v>1</v>
      </c>
      <c r="B12" s="30" t="s">
        <v>2</v>
      </c>
      <c r="C12" s="30"/>
      <c r="D12" s="30"/>
    </row>
    <row r="13" spans="1:4" s="13" customFormat="1" ht="16.5" customHeight="1">
      <c r="A13" s="29" t="s">
        <v>1</v>
      </c>
      <c r="B13" s="30" t="s">
        <v>0</v>
      </c>
      <c r="C13" s="30"/>
      <c r="D13" s="30"/>
    </row>
    <row r="14" spans="1:4" s="13" customFormat="1" ht="16.5" customHeight="1">
      <c r="A14" s="29">
        <v>3</v>
      </c>
      <c r="B14" s="30" t="s">
        <v>40</v>
      </c>
      <c r="C14" s="30"/>
      <c r="D14" s="30"/>
    </row>
    <row r="15" spans="1:4" s="13" customFormat="1" ht="16.5" customHeight="1">
      <c r="A15" s="29" t="s">
        <v>1</v>
      </c>
      <c r="B15" s="30" t="s">
        <v>2</v>
      </c>
      <c r="C15" s="30"/>
      <c r="D15" s="30"/>
    </row>
    <row r="16" spans="1:4" s="13" customFormat="1" ht="16.5" customHeight="1">
      <c r="A16" s="29" t="s">
        <v>1</v>
      </c>
      <c r="B16" s="30" t="s">
        <v>0</v>
      </c>
      <c r="C16" s="30"/>
      <c r="D16" s="30"/>
    </row>
    <row r="17" spans="1:4" s="57" customFormat="1" ht="16.5" customHeight="1">
      <c r="A17" s="51"/>
      <c r="B17" s="51" t="s">
        <v>45</v>
      </c>
      <c r="C17" s="51"/>
      <c r="D17" s="51"/>
    </row>
    <row r="18" spans="1:4" s="25" customFormat="1" ht="16.5" customHeight="1">
      <c r="A18" s="23" t="s">
        <v>14</v>
      </c>
      <c r="B18" s="31" t="s">
        <v>31</v>
      </c>
      <c r="C18" s="31"/>
      <c r="D18" s="31"/>
    </row>
    <row r="19" spans="1:4" s="25" customFormat="1" ht="16.5" customHeight="1">
      <c r="A19" s="23">
        <v>1</v>
      </c>
      <c r="B19" s="31" t="s">
        <v>2</v>
      </c>
      <c r="C19" s="31"/>
      <c r="D19" s="31"/>
    </row>
    <row r="20" spans="1:4" s="13" customFormat="1" ht="16.5" customHeight="1">
      <c r="A20" s="29" t="s">
        <v>32</v>
      </c>
      <c r="B20" s="30" t="s">
        <v>12</v>
      </c>
      <c r="C20" s="30"/>
      <c r="D20" s="30"/>
    </row>
    <row r="21" spans="1:4" s="13" customFormat="1" ht="26.4">
      <c r="A21" s="29" t="s">
        <v>11</v>
      </c>
      <c r="B21" s="30" t="s">
        <v>41</v>
      </c>
      <c r="C21" s="30"/>
      <c r="D21" s="29" t="s">
        <v>33</v>
      </c>
    </row>
    <row r="22" spans="1:4" s="13" customFormat="1" ht="16.5" customHeight="1">
      <c r="A22" s="29" t="s">
        <v>34</v>
      </c>
      <c r="B22" s="30" t="s">
        <v>35</v>
      </c>
      <c r="C22" s="30"/>
      <c r="D22" s="30"/>
    </row>
    <row r="23" spans="1:4" s="25" customFormat="1" ht="16.5" customHeight="1">
      <c r="A23" s="23">
        <v>2</v>
      </c>
      <c r="B23" s="31" t="s">
        <v>0</v>
      </c>
      <c r="C23" s="31"/>
      <c r="D23" s="31"/>
    </row>
    <row r="24" spans="1:4" s="13" customFormat="1" ht="16.5" customHeight="1">
      <c r="A24" s="29" t="s">
        <v>36</v>
      </c>
      <c r="B24" s="30" t="s">
        <v>12</v>
      </c>
      <c r="C24" s="30"/>
      <c r="D24" s="30"/>
    </row>
    <row r="25" spans="1:4" s="13" customFormat="1" ht="26.4">
      <c r="A25" s="29" t="s">
        <v>11</v>
      </c>
      <c r="B25" s="30" t="s">
        <v>43</v>
      </c>
      <c r="C25" s="30"/>
      <c r="D25" s="29" t="s">
        <v>33</v>
      </c>
    </row>
    <row r="26" spans="1:4" s="13" customFormat="1" ht="16.5" customHeight="1">
      <c r="A26" s="29" t="s">
        <v>37</v>
      </c>
      <c r="B26" s="30" t="s">
        <v>35</v>
      </c>
      <c r="C26" s="30"/>
      <c r="D26" s="30"/>
    </row>
    <row r="27" spans="1:4" s="25" customFormat="1" ht="16.5" customHeight="1">
      <c r="A27" s="23" t="s">
        <v>13</v>
      </c>
      <c r="B27" s="31" t="s">
        <v>38</v>
      </c>
      <c r="C27" s="31"/>
      <c r="D27" s="31"/>
    </row>
    <row r="28" spans="1:4" s="13" customFormat="1" ht="16.5" customHeight="1">
      <c r="A28" s="29">
        <v>1</v>
      </c>
      <c r="B28" s="30" t="s">
        <v>39</v>
      </c>
      <c r="C28" s="30"/>
      <c r="D28" s="30"/>
    </row>
    <row r="29" spans="1:4" s="13" customFormat="1" ht="16.5" customHeight="1">
      <c r="A29" s="29" t="s">
        <v>11</v>
      </c>
      <c r="B29" s="30" t="s">
        <v>42</v>
      </c>
      <c r="C29" s="30"/>
      <c r="D29" s="30"/>
    </row>
    <row r="30" spans="1:4" s="13" customFormat="1" ht="16.5" customHeight="1">
      <c r="A30" s="29">
        <v>2</v>
      </c>
      <c r="B30" s="30" t="s">
        <v>35</v>
      </c>
      <c r="C30" s="30"/>
      <c r="D30" s="30"/>
    </row>
    <row r="31" spans="1:4" s="25" customFormat="1" ht="16.5" customHeight="1">
      <c r="A31" s="23" t="s">
        <v>26</v>
      </c>
      <c r="B31" s="31" t="s">
        <v>40</v>
      </c>
      <c r="C31" s="31"/>
      <c r="D31" s="31"/>
    </row>
    <row r="32" spans="1:4" s="13" customFormat="1" ht="16.5" customHeight="1">
      <c r="A32" s="29">
        <v>1</v>
      </c>
      <c r="B32" s="30" t="s">
        <v>39</v>
      </c>
      <c r="C32" s="30"/>
      <c r="D32" s="30"/>
    </row>
    <row r="33" spans="1:4" s="13" customFormat="1" ht="16.5" customHeight="1">
      <c r="A33" s="29" t="s">
        <v>11</v>
      </c>
      <c r="B33" s="30" t="s">
        <v>42</v>
      </c>
      <c r="C33" s="30"/>
      <c r="D33" s="30"/>
    </row>
    <row r="34" spans="1:4" s="13" customFormat="1" ht="16.5" customHeight="1">
      <c r="A34" s="29">
        <v>2</v>
      </c>
      <c r="B34" s="30" t="s">
        <v>35</v>
      </c>
      <c r="C34" s="30"/>
      <c r="D34" s="30"/>
    </row>
    <row r="35" spans="1:4" s="13" customFormat="1" ht="16.5" customHeight="1">
      <c r="A35" s="29" t="s">
        <v>11</v>
      </c>
      <c r="B35" s="30" t="s">
        <v>42</v>
      </c>
      <c r="C35" s="30"/>
      <c r="D35" s="30"/>
    </row>
    <row r="36" spans="1:4" s="25" customFormat="1" ht="16.5" customHeight="1">
      <c r="A36" s="23" t="s">
        <v>63</v>
      </c>
      <c r="B36" s="31" t="s">
        <v>64</v>
      </c>
      <c r="C36" s="31"/>
      <c r="D36" s="31"/>
    </row>
    <row r="37" spans="1:4" s="57" customFormat="1" ht="16.5" customHeight="1">
      <c r="A37" s="51"/>
      <c r="B37" s="51" t="s">
        <v>66</v>
      </c>
      <c r="C37" s="51"/>
      <c r="D37" s="51"/>
    </row>
    <row r="38" spans="1:4" s="25" customFormat="1" ht="16.5" customHeight="1">
      <c r="A38" s="23" t="s">
        <v>14</v>
      </c>
      <c r="B38" s="31" t="s">
        <v>31</v>
      </c>
      <c r="C38" s="31"/>
      <c r="D38" s="31"/>
    </row>
    <row r="39" spans="1:4" s="25" customFormat="1" ht="16.5" customHeight="1">
      <c r="A39" s="23">
        <v>1</v>
      </c>
      <c r="B39" s="31" t="s">
        <v>2</v>
      </c>
      <c r="C39" s="31"/>
      <c r="D39" s="31"/>
    </row>
    <row r="40" spans="1:4" s="13" customFormat="1" ht="16.5" customHeight="1">
      <c r="A40" s="29" t="s">
        <v>32</v>
      </c>
      <c r="B40" s="30" t="s">
        <v>12</v>
      </c>
      <c r="C40" s="30"/>
      <c r="D40" s="30"/>
    </row>
    <row r="41" spans="1:4" s="13" customFormat="1" ht="26.4">
      <c r="A41" s="29" t="s">
        <v>11</v>
      </c>
      <c r="B41" s="30" t="s">
        <v>41</v>
      </c>
      <c r="C41" s="30"/>
      <c r="D41" s="29" t="s">
        <v>33</v>
      </c>
    </row>
    <row r="42" spans="1:4" s="13" customFormat="1" ht="16.5" customHeight="1">
      <c r="A42" s="29" t="s">
        <v>34</v>
      </c>
      <c r="B42" s="30" t="s">
        <v>35</v>
      </c>
      <c r="C42" s="30"/>
      <c r="D42" s="30"/>
    </row>
    <row r="43" spans="1:4" s="25" customFormat="1" ht="16.5" customHeight="1">
      <c r="A43" s="23">
        <v>2</v>
      </c>
      <c r="B43" s="31" t="s">
        <v>0</v>
      </c>
      <c r="C43" s="31"/>
      <c r="D43" s="31"/>
    </row>
    <row r="44" spans="1:4" s="13" customFormat="1" ht="16.5" customHeight="1">
      <c r="A44" s="29" t="s">
        <v>36</v>
      </c>
      <c r="B44" s="30" t="s">
        <v>12</v>
      </c>
      <c r="C44" s="30"/>
      <c r="D44" s="30"/>
    </row>
    <row r="45" spans="1:4" s="13" customFormat="1" ht="26.4">
      <c r="A45" s="29" t="s">
        <v>11</v>
      </c>
      <c r="B45" s="30" t="s">
        <v>43</v>
      </c>
      <c r="C45" s="30"/>
      <c r="D45" s="29" t="s">
        <v>33</v>
      </c>
    </row>
    <row r="46" spans="1:4" s="13" customFormat="1" ht="16.5" customHeight="1">
      <c r="A46" s="29" t="s">
        <v>37</v>
      </c>
      <c r="B46" s="30" t="s">
        <v>35</v>
      </c>
      <c r="C46" s="30"/>
      <c r="D46" s="30"/>
    </row>
    <row r="47" spans="1:4" s="25" customFormat="1" ht="16.5" customHeight="1">
      <c r="A47" s="23" t="s">
        <v>13</v>
      </c>
      <c r="B47" s="31" t="s">
        <v>38</v>
      </c>
      <c r="C47" s="31"/>
      <c r="D47" s="31"/>
    </row>
    <row r="48" spans="1:4" s="13" customFormat="1" ht="16.5" customHeight="1">
      <c r="A48" s="29">
        <v>1</v>
      </c>
      <c r="B48" s="30" t="s">
        <v>39</v>
      </c>
      <c r="C48" s="30"/>
      <c r="D48" s="30"/>
    </row>
    <row r="49" spans="1:6" s="13" customFormat="1" ht="16.5" customHeight="1">
      <c r="A49" s="29" t="s">
        <v>11</v>
      </c>
      <c r="B49" s="30" t="s">
        <v>42</v>
      </c>
      <c r="C49" s="30"/>
      <c r="D49" s="30"/>
    </row>
    <row r="50" spans="1:6" s="13" customFormat="1" ht="16.5" customHeight="1">
      <c r="A50" s="29">
        <v>2</v>
      </c>
      <c r="B50" s="30" t="s">
        <v>35</v>
      </c>
      <c r="C50" s="30"/>
      <c r="D50" s="30"/>
    </row>
    <row r="51" spans="1:6" s="25" customFormat="1" ht="16.5" customHeight="1">
      <c r="A51" s="23" t="s">
        <v>26</v>
      </c>
      <c r="B51" s="31" t="s">
        <v>40</v>
      </c>
      <c r="C51" s="31"/>
      <c r="D51" s="31"/>
    </row>
    <row r="52" spans="1:6" s="13" customFormat="1" ht="16.5" customHeight="1">
      <c r="A52" s="29">
        <v>1</v>
      </c>
      <c r="B52" s="30" t="s">
        <v>39</v>
      </c>
      <c r="C52" s="30"/>
      <c r="D52" s="30"/>
    </row>
    <row r="53" spans="1:6" s="13" customFormat="1" ht="16.5" customHeight="1">
      <c r="A53" s="29" t="s">
        <v>11</v>
      </c>
      <c r="B53" s="30" t="s">
        <v>42</v>
      </c>
      <c r="C53" s="30"/>
      <c r="D53" s="30"/>
    </row>
    <row r="54" spans="1:6" s="13" customFormat="1" ht="16.5" customHeight="1">
      <c r="A54" s="29">
        <v>2</v>
      </c>
      <c r="B54" s="30" t="s">
        <v>35</v>
      </c>
      <c r="C54" s="30"/>
      <c r="D54" s="30"/>
    </row>
    <row r="55" spans="1:6" s="13" customFormat="1" ht="16.5" customHeight="1">
      <c r="A55" s="29" t="s">
        <v>11</v>
      </c>
      <c r="B55" s="30" t="s">
        <v>42</v>
      </c>
      <c r="C55" s="30"/>
      <c r="D55" s="30"/>
    </row>
    <row r="56" spans="1:6" s="25" customFormat="1" ht="16.5" customHeight="1">
      <c r="A56" s="23" t="s">
        <v>63</v>
      </c>
      <c r="B56" s="31" t="s">
        <v>64</v>
      </c>
      <c r="C56" s="31"/>
      <c r="D56" s="31"/>
    </row>
    <row r="57" spans="1:6" s="25" customFormat="1" ht="13.2">
      <c r="A57" s="58"/>
      <c r="B57" s="59"/>
      <c r="C57" s="59"/>
      <c r="D57" s="59"/>
    </row>
    <row r="58" spans="1:6">
      <c r="A58" s="10"/>
      <c r="C58" s="385"/>
      <c r="D58" s="385"/>
      <c r="E58" s="34"/>
      <c r="F58" s="34"/>
    </row>
    <row r="59" spans="1:6">
      <c r="A59" s="10"/>
      <c r="C59" s="380"/>
      <c r="D59" s="380"/>
      <c r="E59" s="12"/>
      <c r="F59" s="12"/>
    </row>
    <row r="60" spans="1:6" ht="24.75" customHeight="1">
      <c r="A60" s="10"/>
    </row>
    <row r="61" spans="1:6" ht="24.75" customHeight="1">
      <c r="A61" s="10"/>
    </row>
    <row r="62" spans="1:6" ht="24.75" customHeight="1">
      <c r="A62" s="10"/>
    </row>
    <row r="63" spans="1:6" ht="24.75" customHeight="1"/>
    <row r="64" spans="1:6"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sheetData>
  <autoFilter ref="A6:E14"/>
  <mergeCells count="4">
    <mergeCell ref="C59:D59"/>
    <mergeCell ref="A4:D4"/>
    <mergeCell ref="A3:D3"/>
    <mergeCell ref="C58:D58"/>
  </mergeCells>
  <printOptions horizontalCentered="1"/>
  <pageMargins left="0" right="0" top="0.47244094488188981" bottom="0.39370078740157483" header="0.31496062992125984" footer="0.23622047244094491"/>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1"/>
  <sheetViews>
    <sheetView workbookViewId="0">
      <selection activeCell="G16" sqref="G16"/>
    </sheetView>
  </sheetViews>
  <sheetFormatPr defaultColWidth="9" defaultRowHeight="13.8"/>
  <cols>
    <col min="1" max="1" width="4.69921875" style="102" customWidth="1"/>
    <col min="2" max="2" width="13" style="103" customWidth="1"/>
    <col min="3" max="3" width="8.796875" style="103" bestFit="1" customWidth="1"/>
    <col min="4" max="4" width="7.8984375" style="103" bestFit="1" customWidth="1"/>
    <col min="5" max="5" width="7.3984375" style="103" customWidth="1"/>
    <col min="6" max="6" width="7.8984375" style="103" customWidth="1"/>
    <col min="7" max="7" width="8.796875" style="103" bestFit="1" customWidth="1"/>
    <col min="8" max="8" width="7.8984375" style="103" bestFit="1" customWidth="1"/>
    <col min="9" max="9" width="7.3984375" style="103" customWidth="1"/>
    <col min="10" max="10" width="9.3984375" style="103" customWidth="1"/>
    <col min="11" max="11" width="8.59765625" style="210" customWidth="1"/>
    <col min="12" max="12" width="7.8984375" style="210" bestFit="1" customWidth="1"/>
    <col min="13" max="13" width="7.3984375" style="210" customWidth="1"/>
    <col min="14" max="14" width="9.09765625" style="211" customWidth="1"/>
    <col min="15" max="15" width="9" style="103" customWidth="1"/>
    <col min="16" max="17" width="8.09765625" style="103" customWidth="1"/>
    <col min="18" max="18" width="9.5" style="103" customWidth="1"/>
    <col min="19" max="19" width="13.69921875" style="94" customWidth="1"/>
    <col min="20" max="20" width="8" style="102" customWidth="1"/>
    <col min="21" max="21" width="8.19921875" style="103" bestFit="1" customWidth="1"/>
    <col min="22" max="16384" width="9" style="103"/>
  </cols>
  <sheetData>
    <row r="1" spans="1:20" s="264" customFormat="1">
      <c r="A1" s="268" t="s">
        <v>570</v>
      </c>
      <c r="K1" s="265"/>
      <c r="L1" s="265"/>
      <c r="M1" s="265"/>
      <c r="N1" s="266"/>
      <c r="S1" s="267"/>
      <c r="T1" s="263"/>
    </row>
    <row r="2" spans="1:20" s="264" customFormat="1">
      <c r="A2" s="269" t="s">
        <v>568</v>
      </c>
      <c r="K2" s="265"/>
      <c r="L2" s="265"/>
      <c r="M2" s="265"/>
      <c r="N2" s="266"/>
      <c r="S2" s="267"/>
      <c r="T2" s="263"/>
    </row>
    <row r="3" spans="1:20" s="89" customFormat="1" ht="15.6">
      <c r="A3" s="88"/>
      <c r="K3" s="187"/>
      <c r="L3" s="187"/>
      <c r="M3" s="187"/>
      <c r="N3" s="188"/>
      <c r="P3" s="387" t="s">
        <v>219</v>
      </c>
      <c r="Q3" s="387"/>
      <c r="S3" s="90"/>
      <c r="T3" s="90"/>
    </row>
    <row r="4" spans="1:20" s="89" customFormat="1" ht="15.6">
      <c r="A4" s="88"/>
      <c r="K4" s="187"/>
      <c r="L4" s="187"/>
      <c r="M4" s="187"/>
      <c r="N4" s="188"/>
      <c r="P4" s="172"/>
      <c r="Q4" s="172"/>
      <c r="S4" s="90"/>
      <c r="T4" s="90"/>
    </row>
    <row r="5" spans="1:20" s="92" customFormat="1" ht="28.5" customHeight="1">
      <c r="A5" s="388" t="s">
        <v>250</v>
      </c>
      <c r="B5" s="388"/>
      <c r="C5" s="388"/>
      <c r="D5" s="388"/>
      <c r="E5" s="388"/>
      <c r="F5" s="388"/>
      <c r="G5" s="388"/>
      <c r="H5" s="388"/>
      <c r="I5" s="388"/>
      <c r="J5" s="388"/>
      <c r="K5" s="388"/>
      <c r="L5" s="388"/>
      <c r="M5" s="388"/>
      <c r="N5" s="388"/>
      <c r="O5" s="388"/>
      <c r="P5" s="388"/>
      <c r="Q5" s="388"/>
      <c r="R5" s="388"/>
      <c r="S5" s="91"/>
      <c r="T5" s="91"/>
    </row>
    <row r="6" spans="1:20" s="92" customFormat="1" ht="15.6">
      <c r="A6" s="91"/>
      <c r="K6" s="189"/>
      <c r="L6" s="189"/>
      <c r="M6" s="189"/>
      <c r="N6" s="190"/>
      <c r="S6" s="91"/>
      <c r="T6" s="91"/>
    </row>
    <row r="7" spans="1:20" s="94" customFormat="1" ht="39.6" customHeight="1">
      <c r="A7" s="389" t="s">
        <v>158</v>
      </c>
      <c r="B7" s="389" t="s">
        <v>156</v>
      </c>
      <c r="C7" s="386" t="s">
        <v>176</v>
      </c>
      <c r="D7" s="386"/>
      <c r="E7" s="386"/>
      <c r="F7" s="386"/>
      <c r="G7" s="386" t="s">
        <v>177</v>
      </c>
      <c r="H7" s="386"/>
      <c r="I7" s="386"/>
      <c r="J7" s="386"/>
      <c r="K7" s="386" t="s">
        <v>178</v>
      </c>
      <c r="L7" s="386"/>
      <c r="M7" s="386"/>
      <c r="N7" s="386"/>
      <c r="O7" s="386" t="s">
        <v>179</v>
      </c>
      <c r="P7" s="386"/>
      <c r="Q7" s="386"/>
      <c r="R7" s="386"/>
      <c r="S7" s="93"/>
      <c r="T7" s="93"/>
    </row>
    <row r="8" spans="1:20" s="94" customFormat="1" ht="16.2" customHeight="1">
      <c r="A8" s="390"/>
      <c r="B8" s="390"/>
      <c r="C8" s="386" t="s">
        <v>180</v>
      </c>
      <c r="D8" s="386"/>
      <c r="E8" s="386"/>
      <c r="F8" s="389" t="s">
        <v>181</v>
      </c>
      <c r="G8" s="386" t="s">
        <v>180</v>
      </c>
      <c r="H8" s="386"/>
      <c r="I8" s="386"/>
      <c r="J8" s="389" t="s">
        <v>181</v>
      </c>
      <c r="K8" s="386" t="s">
        <v>180</v>
      </c>
      <c r="L8" s="386"/>
      <c r="M8" s="386"/>
      <c r="N8" s="391" t="s">
        <v>182</v>
      </c>
      <c r="O8" s="386" t="s">
        <v>180</v>
      </c>
      <c r="P8" s="386"/>
      <c r="Q8" s="386"/>
      <c r="R8" s="389" t="s">
        <v>183</v>
      </c>
    </row>
    <row r="9" spans="1:20" s="94" customFormat="1" ht="64.8" customHeight="1">
      <c r="A9" s="390"/>
      <c r="B9" s="390"/>
      <c r="C9" s="173" t="s">
        <v>132</v>
      </c>
      <c r="D9" s="173" t="s">
        <v>184</v>
      </c>
      <c r="E9" s="173" t="s">
        <v>185</v>
      </c>
      <c r="F9" s="390"/>
      <c r="G9" s="173" t="s">
        <v>132</v>
      </c>
      <c r="H9" s="173" t="s">
        <v>184</v>
      </c>
      <c r="I9" s="173" t="s">
        <v>185</v>
      </c>
      <c r="J9" s="390"/>
      <c r="K9" s="191" t="s">
        <v>132</v>
      </c>
      <c r="L9" s="191" t="s">
        <v>184</v>
      </c>
      <c r="M9" s="191" t="s">
        <v>185</v>
      </c>
      <c r="N9" s="392"/>
      <c r="O9" s="173" t="s">
        <v>132</v>
      </c>
      <c r="P9" s="173" t="s">
        <v>184</v>
      </c>
      <c r="Q9" s="173" t="s">
        <v>185</v>
      </c>
      <c r="R9" s="390"/>
      <c r="S9" s="93"/>
    </row>
    <row r="10" spans="1:20" s="96" customFormat="1" ht="13.2">
      <c r="A10" s="95" t="s">
        <v>51</v>
      </c>
      <c r="B10" s="95" t="s">
        <v>52</v>
      </c>
      <c r="C10" s="95">
        <v>1</v>
      </c>
      <c r="D10" s="95">
        <v>2</v>
      </c>
      <c r="E10" s="95">
        <v>3</v>
      </c>
      <c r="F10" s="95">
        <v>4</v>
      </c>
      <c r="G10" s="95">
        <v>5</v>
      </c>
      <c r="H10" s="95">
        <v>6</v>
      </c>
      <c r="I10" s="95">
        <v>7</v>
      </c>
      <c r="J10" s="95">
        <v>8</v>
      </c>
      <c r="K10" s="270">
        <v>9</v>
      </c>
      <c r="L10" s="270">
        <v>10</v>
      </c>
      <c r="M10" s="270">
        <v>11</v>
      </c>
      <c r="N10" s="192">
        <v>12</v>
      </c>
      <c r="O10" s="95">
        <v>13</v>
      </c>
      <c r="P10" s="95">
        <v>14</v>
      </c>
      <c r="Q10" s="95">
        <v>15</v>
      </c>
      <c r="R10" s="95">
        <v>16</v>
      </c>
      <c r="S10" s="94"/>
    </row>
    <row r="11" spans="1:20" s="99" customFormat="1" ht="13.2">
      <c r="A11" s="169"/>
      <c r="B11" s="97" t="s">
        <v>50</v>
      </c>
      <c r="C11" s="194">
        <f>+C12</f>
        <v>28.292000000000002</v>
      </c>
      <c r="D11" s="194">
        <f t="shared" ref="D11:R11" si="0">+D12</f>
        <v>9.6859999999999999</v>
      </c>
      <c r="E11" s="194">
        <f t="shared" si="0"/>
        <v>7.6720000000000006</v>
      </c>
      <c r="F11" s="194">
        <f t="shared" si="0"/>
        <v>5109.4979999999996</v>
      </c>
      <c r="G11" s="194">
        <f t="shared" si="0"/>
        <v>28.292000000000002</v>
      </c>
      <c r="H11" s="194">
        <f t="shared" si="0"/>
        <v>9.6859999999999999</v>
      </c>
      <c r="I11" s="194">
        <f t="shared" si="0"/>
        <v>7.6720000000000006</v>
      </c>
      <c r="J11" s="194">
        <f t="shared" si="0"/>
        <v>5109.4979999999996</v>
      </c>
      <c r="K11" s="194">
        <f t="shared" si="0"/>
        <v>28.292000000000002</v>
      </c>
      <c r="L11" s="194">
        <f t="shared" si="0"/>
        <v>9.6859999999999999</v>
      </c>
      <c r="M11" s="194">
        <f t="shared" si="0"/>
        <v>7.6720000000000006</v>
      </c>
      <c r="N11" s="194">
        <f t="shared" si="0"/>
        <v>5109.4979999999996</v>
      </c>
      <c r="O11" s="194">
        <f t="shared" si="0"/>
        <v>28.292000000000002</v>
      </c>
      <c r="P11" s="194">
        <f t="shared" si="0"/>
        <v>9.6859999999999999</v>
      </c>
      <c r="Q11" s="194">
        <f t="shared" si="0"/>
        <v>7.6720000000000006</v>
      </c>
      <c r="R11" s="194">
        <f t="shared" si="0"/>
        <v>5109.4979999999996</v>
      </c>
      <c r="S11" s="98"/>
      <c r="T11" s="98"/>
    </row>
    <row r="12" spans="1:20" s="99" customFormat="1" ht="13.2">
      <c r="A12" s="169">
        <v>1</v>
      </c>
      <c r="B12" s="97" t="s">
        <v>259</v>
      </c>
      <c r="C12" s="194">
        <f>SUM(C14:C21)</f>
        <v>28.292000000000002</v>
      </c>
      <c r="D12" s="194">
        <f t="shared" ref="D12:J12" si="1">SUM(D14:D21)</f>
        <v>9.6859999999999999</v>
      </c>
      <c r="E12" s="194">
        <f t="shared" si="1"/>
        <v>7.6720000000000006</v>
      </c>
      <c r="F12" s="195">
        <f t="shared" si="1"/>
        <v>5109.4979999999996</v>
      </c>
      <c r="G12" s="194">
        <f t="shared" si="1"/>
        <v>28.292000000000002</v>
      </c>
      <c r="H12" s="194">
        <f t="shared" si="1"/>
        <v>9.6859999999999999</v>
      </c>
      <c r="I12" s="194">
        <f t="shared" si="1"/>
        <v>7.6720000000000006</v>
      </c>
      <c r="J12" s="195">
        <f t="shared" si="1"/>
        <v>5109.4979999999996</v>
      </c>
      <c r="K12" s="193">
        <f>SUM(K14:K21)</f>
        <v>28.292000000000002</v>
      </c>
      <c r="L12" s="193">
        <f>SUM(L14:L21)</f>
        <v>9.6859999999999999</v>
      </c>
      <c r="M12" s="193">
        <f>SUM(M14:M21)</f>
        <v>7.6720000000000006</v>
      </c>
      <c r="N12" s="193">
        <f>SUM(N14:N21)</f>
        <v>5109.4979999999996</v>
      </c>
      <c r="O12" s="193">
        <f t="shared" ref="O12:R12" si="2">SUM(O14:O21)</f>
        <v>28.292000000000002</v>
      </c>
      <c r="P12" s="193">
        <f t="shared" si="2"/>
        <v>9.6859999999999999</v>
      </c>
      <c r="Q12" s="193">
        <f t="shared" si="2"/>
        <v>7.6720000000000006</v>
      </c>
      <c r="R12" s="193">
        <f t="shared" si="2"/>
        <v>5109.4979999999996</v>
      </c>
      <c r="S12" s="98"/>
      <c r="T12" s="98"/>
    </row>
    <row r="13" spans="1:20" s="101" customFormat="1" ht="13.2">
      <c r="A13" s="174"/>
      <c r="B13" s="100" t="s">
        <v>28</v>
      </c>
      <c r="C13" s="100"/>
      <c r="D13" s="100"/>
      <c r="E13" s="100"/>
      <c r="F13" s="100"/>
      <c r="G13" s="100"/>
      <c r="H13" s="100"/>
      <c r="I13" s="100"/>
      <c r="J13" s="100"/>
      <c r="K13" s="196"/>
      <c r="L13" s="196"/>
      <c r="M13" s="196"/>
      <c r="N13" s="197"/>
      <c r="O13" s="100"/>
      <c r="P13" s="100"/>
      <c r="Q13" s="100"/>
      <c r="R13" s="100"/>
      <c r="S13" s="94"/>
      <c r="T13" s="94"/>
    </row>
    <row r="14" spans="1:20" s="99" customFormat="1" ht="25.2" customHeight="1">
      <c r="A14" s="174">
        <v>1</v>
      </c>
      <c r="B14" s="97" t="s">
        <v>45</v>
      </c>
      <c r="C14" s="198">
        <v>1.238</v>
      </c>
      <c r="D14" s="198">
        <v>0</v>
      </c>
      <c r="E14" s="196">
        <v>0.95899999999999996</v>
      </c>
      <c r="F14" s="197">
        <v>213</v>
      </c>
      <c r="G14" s="198">
        <v>1.238</v>
      </c>
      <c r="H14" s="198">
        <v>0</v>
      </c>
      <c r="I14" s="196">
        <v>0.95899999999999996</v>
      </c>
      <c r="J14" s="197">
        <v>213</v>
      </c>
      <c r="K14" s="199">
        <v>1.238</v>
      </c>
      <c r="L14" s="198">
        <v>0</v>
      </c>
      <c r="M14" s="196">
        <v>0.95899999999999996</v>
      </c>
      <c r="N14" s="197">
        <v>213</v>
      </c>
      <c r="O14" s="198">
        <v>1.238</v>
      </c>
      <c r="P14" s="198">
        <v>0</v>
      </c>
      <c r="Q14" s="196">
        <v>0.95899999999999996</v>
      </c>
      <c r="R14" s="197">
        <v>213</v>
      </c>
      <c r="S14" s="98"/>
      <c r="T14" s="98"/>
    </row>
    <row r="15" spans="1:20" s="101" customFormat="1" ht="25.2" customHeight="1">
      <c r="A15" s="174">
        <v>2</v>
      </c>
      <c r="B15" s="97" t="s">
        <v>260</v>
      </c>
      <c r="C15" s="198">
        <v>7.19</v>
      </c>
      <c r="D15" s="198">
        <v>1.5109999999999999</v>
      </c>
      <c r="E15" s="196">
        <v>0.25</v>
      </c>
      <c r="F15" s="197">
        <v>1100</v>
      </c>
      <c r="G15" s="198">
        <v>7.19</v>
      </c>
      <c r="H15" s="198">
        <v>1.5109999999999999</v>
      </c>
      <c r="I15" s="196">
        <v>0.25</v>
      </c>
      <c r="J15" s="197">
        <v>1100</v>
      </c>
      <c r="K15" s="199">
        <v>7.19</v>
      </c>
      <c r="L15" s="198">
        <v>1.5109999999999999</v>
      </c>
      <c r="M15" s="196">
        <v>0.25</v>
      </c>
      <c r="N15" s="197">
        <v>1100</v>
      </c>
      <c r="O15" s="198">
        <v>7.19</v>
      </c>
      <c r="P15" s="198">
        <v>1.5109999999999999</v>
      </c>
      <c r="Q15" s="196">
        <v>0.25</v>
      </c>
      <c r="R15" s="197">
        <v>1100</v>
      </c>
      <c r="S15" s="94"/>
      <c r="T15" s="94"/>
    </row>
    <row r="16" spans="1:20" s="101" customFormat="1" ht="25.2" customHeight="1">
      <c r="A16" s="174">
        <v>3</v>
      </c>
      <c r="B16" s="97" t="s">
        <v>261</v>
      </c>
      <c r="C16" s="198">
        <v>0.64</v>
      </c>
      <c r="D16" s="198">
        <v>2.4249999999999998</v>
      </c>
      <c r="E16" s="196">
        <v>0.54</v>
      </c>
      <c r="F16" s="197">
        <v>306</v>
      </c>
      <c r="G16" s="198">
        <v>0.64</v>
      </c>
      <c r="H16" s="198">
        <v>2.4249999999999998</v>
      </c>
      <c r="I16" s="196">
        <v>0.54</v>
      </c>
      <c r="J16" s="197">
        <v>306</v>
      </c>
      <c r="K16" s="198">
        <v>0.64</v>
      </c>
      <c r="L16" s="198">
        <v>2.4249999999999998</v>
      </c>
      <c r="M16" s="196">
        <v>0.54</v>
      </c>
      <c r="N16" s="197">
        <v>306</v>
      </c>
      <c r="O16" s="198">
        <v>0.64</v>
      </c>
      <c r="P16" s="198">
        <v>2.4249999999999998</v>
      </c>
      <c r="Q16" s="196">
        <v>0.54</v>
      </c>
      <c r="R16" s="197">
        <v>306</v>
      </c>
      <c r="S16" s="94"/>
      <c r="T16" s="94"/>
    </row>
    <row r="17" spans="1:20" s="101" customFormat="1" ht="25.2" customHeight="1">
      <c r="A17" s="174">
        <v>4</v>
      </c>
      <c r="B17" s="97" t="s">
        <v>262</v>
      </c>
      <c r="C17" s="198">
        <v>4.93</v>
      </c>
      <c r="D17" s="198">
        <v>1.1499999999999999</v>
      </c>
      <c r="E17" s="196">
        <v>1.1100000000000001</v>
      </c>
      <c r="F17" s="197">
        <v>836</v>
      </c>
      <c r="G17" s="198">
        <v>4.93</v>
      </c>
      <c r="H17" s="198">
        <v>1.1499999999999999</v>
      </c>
      <c r="I17" s="196">
        <v>1.1100000000000001</v>
      </c>
      <c r="J17" s="197">
        <v>836</v>
      </c>
      <c r="K17" s="198">
        <v>4.93</v>
      </c>
      <c r="L17" s="198">
        <v>1.1499999999999999</v>
      </c>
      <c r="M17" s="196">
        <v>1.1100000000000001</v>
      </c>
      <c r="N17" s="197">
        <v>836</v>
      </c>
      <c r="O17" s="198">
        <v>4.93</v>
      </c>
      <c r="P17" s="198">
        <v>1.1499999999999999</v>
      </c>
      <c r="Q17" s="196">
        <v>1.1100000000000001</v>
      </c>
      <c r="R17" s="197">
        <v>836</v>
      </c>
      <c r="S17" s="94"/>
      <c r="T17" s="94"/>
    </row>
    <row r="18" spans="1:20" s="99" customFormat="1" ht="25.2" customHeight="1">
      <c r="A18" s="174">
        <v>5</v>
      </c>
      <c r="B18" s="97" t="s">
        <v>263</v>
      </c>
      <c r="C18" s="198">
        <v>4.6500000000000004</v>
      </c>
      <c r="D18" s="198">
        <v>1.82</v>
      </c>
      <c r="E18" s="196">
        <v>0.7</v>
      </c>
      <c r="F18" s="197">
        <v>1061</v>
      </c>
      <c r="G18" s="198">
        <v>4.6500000000000004</v>
      </c>
      <c r="H18" s="198">
        <v>1.82</v>
      </c>
      <c r="I18" s="196">
        <v>0.7</v>
      </c>
      <c r="J18" s="197">
        <v>1061</v>
      </c>
      <c r="K18" s="200">
        <v>4.6500000000000004</v>
      </c>
      <c r="L18" s="198">
        <v>1.82</v>
      </c>
      <c r="M18" s="196">
        <v>0.7</v>
      </c>
      <c r="N18" s="197">
        <v>1061</v>
      </c>
      <c r="O18" s="198">
        <v>4.6500000000000004</v>
      </c>
      <c r="P18" s="198">
        <v>1.82</v>
      </c>
      <c r="Q18" s="196">
        <v>0.7</v>
      </c>
      <c r="R18" s="197">
        <v>1061</v>
      </c>
      <c r="S18" s="98"/>
      <c r="T18" s="98"/>
    </row>
    <row r="19" spans="1:20" s="101" customFormat="1" ht="25.2" customHeight="1">
      <c r="A19" s="174">
        <v>6</v>
      </c>
      <c r="B19" s="97" t="s">
        <v>264</v>
      </c>
      <c r="C19" s="198">
        <v>5.7839999999999998</v>
      </c>
      <c r="D19" s="198">
        <v>2.2999999999999998</v>
      </c>
      <c r="E19" s="196">
        <v>1.17</v>
      </c>
      <c r="F19" s="197">
        <v>880</v>
      </c>
      <c r="G19" s="198">
        <v>5.7839999999999998</v>
      </c>
      <c r="H19" s="198">
        <v>2.2999999999999998</v>
      </c>
      <c r="I19" s="196">
        <v>1.17</v>
      </c>
      <c r="J19" s="197">
        <v>880</v>
      </c>
      <c r="K19" s="200">
        <v>5.7839999999999998</v>
      </c>
      <c r="L19" s="198">
        <v>2.2999999999999998</v>
      </c>
      <c r="M19" s="196">
        <v>1.17</v>
      </c>
      <c r="N19" s="197">
        <v>880</v>
      </c>
      <c r="O19" s="198">
        <v>5.7839999999999998</v>
      </c>
      <c r="P19" s="198">
        <v>2.2999999999999998</v>
      </c>
      <c r="Q19" s="196">
        <v>1.17</v>
      </c>
      <c r="R19" s="197">
        <v>880</v>
      </c>
      <c r="S19" s="94"/>
      <c r="T19" s="94"/>
    </row>
    <row r="20" spans="1:20" s="101" customFormat="1" ht="25.2" customHeight="1">
      <c r="A20" s="174">
        <v>7</v>
      </c>
      <c r="B20" s="97" t="s">
        <v>265</v>
      </c>
      <c r="C20" s="198">
        <v>3.387</v>
      </c>
      <c r="D20" s="198">
        <v>0.48</v>
      </c>
      <c r="E20" s="196">
        <v>1.5429999999999999</v>
      </c>
      <c r="F20" s="197">
        <v>513.49800000000005</v>
      </c>
      <c r="G20" s="198">
        <v>3.387</v>
      </c>
      <c r="H20" s="198">
        <v>0.48</v>
      </c>
      <c r="I20" s="196">
        <v>1.5429999999999999</v>
      </c>
      <c r="J20" s="197">
        <v>513.49800000000005</v>
      </c>
      <c r="K20" s="200">
        <v>3.387</v>
      </c>
      <c r="L20" s="198">
        <v>0.48</v>
      </c>
      <c r="M20" s="196">
        <v>1.5429999999999999</v>
      </c>
      <c r="N20" s="197">
        <v>513.49800000000005</v>
      </c>
      <c r="O20" s="198">
        <v>3.387</v>
      </c>
      <c r="P20" s="198">
        <v>0.48</v>
      </c>
      <c r="Q20" s="196">
        <v>1.5429999999999999</v>
      </c>
      <c r="R20" s="197">
        <v>513.49800000000005</v>
      </c>
      <c r="S20" s="94"/>
      <c r="T20" s="94"/>
    </row>
    <row r="21" spans="1:20" s="101" customFormat="1" ht="25.2" customHeight="1">
      <c r="A21" s="174">
        <v>8</v>
      </c>
      <c r="B21" s="97" t="s">
        <v>266</v>
      </c>
      <c r="C21" s="198">
        <v>0.47299999999999998</v>
      </c>
      <c r="D21" s="198">
        <v>0</v>
      </c>
      <c r="E21" s="196">
        <v>1.4</v>
      </c>
      <c r="F21" s="197">
        <v>200</v>
      </c>
      <c r="G21" s="198">
        <v>0.47299999999999998</v>
      </c>
      <c r="H21" s="198">
        <v>0</v>
      </c>
      <c r="I21" s="196">
        <v>1.4</v>
      </c>
      <c r="J21" s="197">
        <v>200</v>
      </c>
      <c r="K21" s="198">
        <v>0.47299999999999998</v>
      </c>
      <c r="L21" s="198">
        <v>0</v>
      </c>
      <c r="M21" s="196">
        <v>1.4</v>
      </c>
      <c r="N21" s="197">
        <v>200</v>
      </c>
      <c r="O21" s="198">
        <v>0.47299999999999998</v>
      </c>
      <c r="P21" s="198">
        <v>0</v>
      </c>
      <c r="Q21" s="196">
        <v>1.4</v>
      </c>
      <c r="R21" s="197">
        <v>200</v>
      </c>
      <c r="S21" s="94"/>
      <c r="T21" s="94"/>
    </row>
    <row r="22" spans="1:20" s="203" customFormat="1">
      <c r="A22" s="201"/>
      <c r="B22" s="202"/>
      <c r="K22" s="204"/>
      <c r="L22" s="204"/>
      <c r="M22" s="204"/>
      <c r="N22" s="205"/>
      <c r="S22" s="206"/>
      <c r="T22" s="201"/>
    </row>
    <row r="23" spans="1:20" s="203" customFormat="1" ht="15.6">
      <c r="A23" s="201"/>
      <c r="H23" s="207"/>
      <c r="K23" s="206"/>
      <c r="L23" s="201"/>
    </row>
    <row r="24" spans="1:20" s="203" customFormat="1" ht="15.6">
      <c r="A24" s="201"/>
      <c r="B24" s="202"/>
      <c r="H24" s="208"/>
      <c r="K24" s="206"/>
      <c r="L24" s="201"/>
    </row>
    <row r="25" spans="1:20" s="203" customFormat="1" ht="15.6">
      <c r="A25" s="201"/>
      <c r="H25" s="209"/>
      <c r="K25" s="206"/>
      <c r="L25" s="201"/>
    </row>
    <row r="26" spans="1:20" s="203" customFormat="1">
      <c r="A26" s="201"/>
      <c r="B26" s="202"/>
      <c r="K26" s="206"/>
      <c r="L26" s="201"/>
    </row>
    <row r="27" spans="1:20">
      <c r="K27" s="94"/>
      <c r="L27" s="102"/>
      <c r="M27" s="103"/>
      <c r="N27" s="103"/>
      <c r="S27" s="103"/>
      <c r="T27" s="103"/>
    </row>
    <row r="28" spans="1:20">
      <c r="K28" s="94"/>
      <c r="L28" s="102"/>
      <c r="M28" s="103"/>
      <c r="N28" s="103"/>
      <c r="S28" s="103"/>
      <c r="T28" s="103"/>
    </row>
    <row r="29" spans="1:20">
      <c r="K29" s="94"/>
      <c r="L29" s="102"/>
      <c r="M29" s="103"/>
      <c r="N29" s="103"/>
      <c r="S29" s="103"/>
      <c r="T29" s="103"/>
    </row>
    <row r="30" spans="1:20">
      <c r="K30" s="94"/>
      <c r="L30" s="102"/>
      <c r="M30" s="103"/>
      <c r="N30" s="103"/>
      <c r="S30" s="103"/>
      <c r="T30" s="103"/>
    </row>
    <row r="31" spans="1:20">
      <c r="K31" s="94"/>
      <c r="L31" s="102"/>
      <c r="M31" s="103"/>
      <c r="N31" s="103"/>
      <c r="S31" s="103"/>
      <c r="T31" s="103"/>
    </row>
  </sheetData>
  <mergeCells count="16">
    <mergeCell ref="O8:Q8"/>
    <mergeCell ref="P3:Q3"/>
    <mergeCell ref="A5:R5"/>
    <mergeCell ref="A7:A9"/>
    <mergeCell ref="B7:B9"/>
    <mergeCell ref="C7:F7"/>
    <mergeCell ref="G7:J7"/>
    <mergeCell ref="K7:N7"/>
    <mergeCell ref="O7:R7"/>
    <mergeCell ref="C8:E8"/>
    <mergeCell ref="R8:R9"/>
    <mergeCell ref="F8:F9"/>
    <mergeCell ref="G8:I8"/>
    <mergeCell ref="J8:J9"/>
    <mergeCell ref="K8:M8"/>
    <mergeCell ref="N8:N9"/>
  </mergeCells>
  <printOptions horizontalCentered="1"/>
  <pageMargins left="0.11811023622047245" right="0.31496062992125984" top="0.35433070866141736" bottom="0"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4"/>
  <sheetViews>
    <sheetView workbookViewId="0">
      <selection activeCell="B13" sqref="B13"/>
    </sheetView>
  </sheetViews>
  <sheetFormatPr defaultColWidth="9" defaultRowHeight="13.8"/>
  <cols>
    <col min="1" max="1" width="4.5" style="103" customWidth="1"/>
    <col min="2" max="2" width="15.59765625" style="103" customWidth="1"/>
    <col min="3" max="3" width="10.59765625" style="103" customWidth="1"/>
    <col min="4" max="4" width="10.3984375" style="103" customWidth="1"/>
    <col min="5" max="5" width="9.3984375" style="103" customWidth="1"/>
    <col min="6" max="6" width="9.19921875" style="103" customWidth="1"/>
    <col min="7" max="7" width="9.19921875" style="120" customWidth="1"/>
    <col min="8" max="8" width="11.5" style="120" customWidth="1"/>
    <col min="9" max="10" width="8.8984375" style="120" customWidth="1"/>
    <col min="11" max="11" width="13.5" style="121" customWidth="1"/>
    <col min="12" max="12" width="11" style="121" bestFit="1" customWidth="1"/>
    <col min="13" max="13" width="11.09765625" style="121" customWidth="1"/>
    <col min="14" max="14" width="11" style="121" bestFit="1" customWidth="1"/>
    <col min="15" max="15" width="9.8984375" style="121" customWidth="1"/>
    <col min="16" max="16384" width="9" style="103"/>
  </cols>
  <sheetData>
    <row r="1" spans="1:17" s="272" customFormat="1">
      <c r="A1" s="271" t="s">
        <v>570</v>
      </c>
      <c r="G1" s="273"/>
      <c r="H1" s="273"/>
      <c r="I1" s="273"/>
      <c r="J1" s="273"/>
      <c r="K1" s="274"/>
      <c r="L1" s="274"/>
      <c r="M1" s="274"/>
      <c r="N1" s="274"/>
      <c r="O1" s="274"/>
    </row>
    <row r="2" spans="1:17" s="272" customFormat="1">
      <c r="A2" s="275" t="s">
        <v>568</v>
      </c>
      <c r="G2" s="273"/>
      <c r="H2" s="273"/>
      <c r="I2" s="273"/>
      <c r="J2" s="273"/>
      <c r="K2" s="274"/>
      <c r="L2" s="274"/>
      <c r="M2" s="274"/>
      <c r="N2" s="274"/>
      <c r="O2" s="274"/>
    </row>
    <row r="3" spans="1:17" s="105" customFormat="1" ht="21" customHeight="1">
      <c r="G3" s="106"/>
      <c r="H3" s="106"/>
      <c r="I3" s="106"/>
      <c r="J3" s="106"/>
      <c r="K3" s="107"/>
      <c r="L3" s="107"/>
      <c r="M3" s="107"/>
      <c r="N3" s="107" t="s">
        <v>221</v>
      </c>
      <c r="O3" s="107"/>
    </row>
    <row r="4" spans="1:17" s="92" customFormat="1" ht="39" customHeight="1">
      <c r="A4" s="388" t="s">
        <v>251</v>
      </c>
      <c r="B4" s="388"/>
      <c r="C4" s="388"/>
      <c r="D4" s="388"/>
      <c r="E4" s="388"/>
      <c r="F4" s="388"/>
      <c r="G4" s="394"/>
      <c r="H4" s="394"/>
      <c r="I4" s="394"/>
      <c r="J4" s="394"/>
      <c r="K4" s="394"/>
      <c r="L4" s="394"/>
      <c r="M4" s="394"/>
      <c r="N4" s="394"/>
      <c r="O4" s="394"/>
    </row>
    <row r="5" spans="1:17" s="92" customFormat="1" ht="15.6">
      <c r="D5" s="108"/>
      <c r="G5" s="109"/>
      <c r="H5" s="109"/>
      <c r="I5" s="109"/>
      <c r="J5" s="109"/>
      <c r="K5" s="110"/>
      <c r="L5" s="110"/>
      <c r="M5" s="110"/>
      <c r="N5" s="110"/>
      <c r="O5" s="110"/>
    </row>
    <row r="6" spans="1:17" s="94" customFormat="1" ht="21" customHeight="1">
      <c r="A6" s="389" t="s">
        <v>158</v>
      </c>
      <c r="B6" s="389" t="s">
        <v>156</v>
      </c>
      <c r="C6" s="389" t="s">
        <v>186</v>
      </c>
      <c r="D6" s="389" t="s">
        <v>187</v>
      </c>
      <c r="E6" s="386" t="s">
        <v>188</v>
      </c>
      <c r="F6" s="386"/>
      <c r="G6" s="396"/>
      <c r="H6" s="397" t="s">
        <v>189</v>
      </c>
      <c r="I6" s="400" t="s">
        <v>28</v>
      </c>
      <c r="J6" s="401"/>
      <c r="K6" s="402" t="s">
        <v>190</v>
      </c>
      <c r="L6" s="405" t="s">
        <v>191</v>
      </c>
      <c r="M6" s="406"/>
      <c r="N6" s="406"/>
      <c r="O6" s="407"/>
    </row>
    <row r="7" spans="1:17" s="94" customFormat="1" ht="32.25" customHeight="1">
      <c r="A7" s="390"/>
      <c r="B7" s="390"/>
      <c r="C7" s="390"/>
      <c r="D7" s="390"/>
      <c r="E7" s="386" t="s">
        <v>47</v>
      </c>
      <c r="F7" s="386" t="s">
        <v>5</v>
      </c>
      <c r="G7" s="396" t="s">
        <v>4</v>
      </c>
      <c r="H7" s="398"/>
      <c r="I7" s="408" t="s">
        <v>192</v>
      </c>
      <c r="J7" s="408" t="s">
        <v>193</v>
      </c>
      <c r="K7" s="403"/>
      <c r="L7" s="402" t="s">
        <v>47</v>
      </c>
      <c r="M7" s="410" t="s">
        <v>194</v>
      </c>
      <c r="N7" s="412" t="s">
        <v>28</v>
      </c>
      <c r="O7" s="412"/>
    </row>
    <row r="8" spans="1:17" s="94" customFormat="1" ht="81" customHeight="1">
      <c r="A8" s="390"/>
      <c r="B8" s="390"/>
      <c r="C8" s="395"/>
      <c r="D8" s="395"/>
      <c r="E8" s="386"/>
      <c r="F8" s="386"/>
      <c r="G8" s="396"/>
      <c r="H8" s="399"/>
      <c r="I8" s="409"/>
      <c r="J8" s="409"/>
      <c r="K8" s="404"/>
      <c r="L8" s="404"/>
      <c r="M8" s="411"/>
      <c r="N8" s="176" t="s">
        <v>5</v>
      </c>
      <c r="O8" s="176" t="s">
        <v>4</v>
      </c>
    </row>
    <row r="9" spans="1:17" s="112" customFormat="1" ht="10.199999999999999">
      <c r="A9" s="111" t="s">
        <v>51</v>
      </c>
      <c r="B9" s="111" t="s">
        <v>52</v>
      </c>
      <c r="C9" s="111">
        <v>1</v>
      </c>
      <c r="D9" s="111" t="s">
        <v>195</v>
      </c>
      <c r="E9" s="111">
        <v>3</v>
      </c>
      <c r="F9" s="111">
        <v>4</v>
      </c>
      <c r="G9" s="111">
        <v>5</v>
      </c>
      <c r="H9" s="111" t="s">
        <v>196</v>
      </c>
      <c r="I9" s="111">
        <v>7</v>
      </c>
      <c r="J9" s="111">
        <v>8</v>
      </c>
      <c r="K9" s="111" t="s">
        <v>197</v>
      </c>
      <c r="L9" s="111">
        <v>10</v>
      </c>
      <c r="M9" s="111" t="s">
        <v>198</v>
      </c>
      <c r="N9" s="111">
        <v>12</v>
      </c>
      <c r="O9" s="111">
        <v>13</v>
      </c>
    </row>
    <row r="10" spans="1:17" s="99" customFormat="1" ht="22.5" customHeight="1">
      <c r="A10" s="169"/>
      <c r="B10" s="169" t="s">
        <v>50</v>
      </c>
      <c r="C10" s="113">
        <f>+C11</f>
        <v>5109.4979999999996</v>
      </c>
      <c r="D10" s="113">
        <f t="shared" ref="D10:O10" si="0">+D11</f>
        <v>5091.6499999999996</v>
      </c>
      <c r="E10" s="113">
        <f t="shared" si="0"/>
        <v>2485.0129999999999</v>
      </c>
      <c r="F10" s="113">
        <f t="shared" si="0"/>
        <v>1767.896</v>
      </c>
      <c r="G10" s="113">
        <f t="shared" si="0"/>
        <v>838.74299999999994</v>
      </c>
      <c r="H10" s="113">
        <f t="shared" si="0"/>
        <v>32.99</v>
      </c>
      <c r="I10" s="113">
        <f t="shared" si="0"/>
        <v>15.13</v>
      </c>
      <c r="J10" s="113">
        <f t="shared" si="0"/>
        <v>17.850000000000001</v>
      </c>
      <c r="K10" s="230">
        <f t="shared" si="0"/>
        <v>5663179.4500000002</v>
      </c>
      <c r="L10" s="230">
        <f t="shared" si="0"/>
        <v>2750823.4710000004</v>
      </c>
      <c r="M10" s="230">
        <f t="shared" si="0"/>
        <v>2912355.9789999998</v>
      </c>
      <c r="N10" s="230">
        <f t="shared" si="0"/>
        <v>1977649.4890000001</v>
      </c>
      <c r="O10" s="230">
        <f t="shared" si="0"/>
        <v>934706.48999999987</v>
      </c>
    </row>
    <row r="11" spans="1:17" s="99" customFormat="1" ht="22.5" customHeight="1">
      <c r="A11" s="169">
        <v>1</v>
      </c>
      <c r="B11" s="116" t="s">
        <v>259</v>
      </c>
      <c r="C11" s="117">
        <f>SUM(C13:C20)</f>
        <v>5109.4979999999996</v>
      </c>
      <c r="D11" s="118">
        <f>SUM(D13:D20)</f>
        <v>5091.6499999999996</v>
      </c>
      <c r="E11" s="118">
        <f t="shared" ref="E11:O11" si="1">SUM(E13:E20)</f>
        <v>2485.0129999999999</v>
      </c>
      <c r="F11" s="118">
        <f t="shared" si="1"/>
        <v>1767.896</v>
      </c>
      <c r="G11" s="118">
        <f t="shared" si="1"/>
        <v>838.74299999999994</v>
      </c>
      <c r="H11" s="118">
        <f t="shared" si="1"/>
        <v>32.99</v>
      </c>
      <c r="I11" s="118">
        <f t="shared" si="1"/>
        <v>15.13</v>
      </c>
      <c r="J11" s="118">
        <f t="shared" si="1"/>
        <v>17.850000000000001</v>
      </c>
      <c r="K11" s="231">
        <f t="shared" si="1"/>
        <v>5663179.4500000002</v>
      </c>
      <c r="L11" s="231">
        <f t="shared" si="1"/>
        <v>2750823.4710000004</v>
      </c>
      <c r="M11" s="231">
        <f>SUM(M13:M20)</f>
        <v>2912355.9789999998</v>
      </c>
      <c r="N11" s="231">
        <f t="shared" si="1"/>
        <v>1977649.4890000001</v>
      </c>
      <c r="O11" s="231">
        <f t="shared" si="1"/>
        <v>934706.48999999987</v>
      </c>
    </row>
    <row r="12" spans="1:17" s="217" customFormat="1" ht="20.25" customHeight="1">
      <c r="A12" s="214"/>
      <c r="B12" s="215" t="s">
        <v>28</v>
      </c>
      <c r="C12" s="215"/>
      <c r="D12" s="215"/>
      <c r="E12" s="215"/>
      <c r="F12" s="215"/>
      <c r="G12" s="215"/>
      <c r="H12" s="215"/>
      <c r="I12" s="215"/>
      <c r="J12" s="215"/>
      <c r="K12" s="215"/>
      <c r="L12" s="215"/>
      <c r="M12" s="215"/>
      <c r="N12" s="215"/>
      <c r="O12" s="215"/>
      <c r="P12" s="216"/>
      <c r="Q12" s="216"/>
    </row>
    <row r="13" spans="1:17" s="99" customFormat="1" ht="28.2" customHeight="1">
      <c r="A13" s="174">
        <v>1</v>
      </c>
      <c r="B13" s="97" t="s">
        <v>45</v>
      </c>
      <c r="C13" s="197">
        <v>213</v>
      </c>
      <c r="D13" s="197">
        <v>213</v>
      </c>
      <c r="E13" s="114">
        <f>64.19+52.17</f>
        <v>116.36</v>
      </c>
      <c r="F13" s="114">
        <f>30.5+18.63</f>
        <v>49.129999999999995</v>
      </c>
      <c r="G13" s="114">
        <f>D13-E13-F13</f>
        <v>47.510000000000005</v>
      </c>
      <c r="H13" s="119"/>
      <c r="I13" s="119"/>
      <c r="J13" s="119"/>
      <c r="K13" s="218">
        <f>L13+M13</f>
        <v>275835</v>
      </c>
      <c r="L13" s="218">
        <f>E13*1295</f>
        <v>150686.20000000001</v>
      </c>
      <c r="M13" s="218">
        <f>N13+O13</f>
        <v>125148.79999999999</v>
      </c>
      <c r="N13" s="218">
        <f>F13*1295</f>
        <v>63623.349999999991</v>
      </c>
      <c r="O13" s="218">
        <f>G13*1295</f>
        <v>61525.450000000004</v>
      </c>
    </row>
    <row r="14" spans="1:17" s="101" customFormat="1" ht="28.2" customHeight="1">
      <c r="A14" s="174">
        <v>2</v>
      </c>
      <c r="B14" s="97" t="s">
        <v>260</v>
      </c>
      <c r="C14" s="197">
        <v>1100</v>
      </c>
      <c r="D14" s="197">
        <v>1100</v>
      </c>
      <c r="E14" s="114">
        <f>562.49+14.08+193.48</f>
        <v>770.05000000000007</v>
      </c>
      <c r="F14" s="114">
        <f>55.28+200.89+5.03</f>
        <v>261.19999999999993</v>
      </c>
      <c r="G14" s="114">
        <f t="shared" ref="G14:G18" si="2">D14-E14-F14</f>
        <v>68.75</v>
      </c>
      <c r="H14" s="115"/>
      <c r="I14" s="115"/>
      <c r="J14" s="115"/>
      <c r="K14" s="218">
        <f>L14+M14</f>
        <v>1210000</v>
      </c>
      <c r="L14" s="218">
        <f>E14*1100</f>
        <v>847055.00000000012</v>
      </c>
      <c r="M14" s="218">
        <f t="shared" ref="M14:M16" si="3">N14+O14</f>
        <v>362944.99999999994</v>
      </c>
      <c r="N14" s="218">
        <f>F14*1100</f>
        <v>287319.99999999994</v>
      </c>
      <c r="O14" s="218">
        <f>G14*1100</f>
        <v>75625</v>
      </c>
    </row>
    <row r="15" spans="1:17" s="101" customFormat="1" ht="28.2" customHeight="1">
      <c r="A15" s="174">
        <v>3</v>
      </c>
      <c r="B15" s="97" t="s">
        <v>261</v>
      </c>
      <c r="C15" s="197">
        <v>306</v>
      </c>
      <c r="D15" s="197">
        <v>306</v>
      </c>
      <c r="E15" s="114">
        <f>50.05+27.146+130.395</f>
        <v>207.59100000000001</v>
      </c>
      <c r="F15" s="114">
        <f>17.875+9.695+39.238</f>
        <v>66.807999999999993</v>
      </c>
      <c r="G15" s="114">
        <f t="shared" si="2"/>
        <v>31.600999999999999</v>
      </c>
      <c r="H15" s="115"/>
      <c r="I15" s="115"/>
      <c r="J15" s="115"/>
      <c r="K15" s="218">
        <f t="shared" ref="K15:K20" si="4">L15+M15</f>
        <v>318240</v>
      </c>
      <c r="L15" s="218">
        <f>E15*1040</f>
        <v>215894.64</v>
      </c>
      <c r="M15" s="218">
        <f t="shared" si="3"/>
        <v>102345.35999999999</v>
      </c>
      <c r="N15" s="218">
        <f>F15*1040</f>
        <v>69480.319999999992</v>
      </c>
      <c r="O15" s="218">
        <f>G15*1040</f>
        <v>32865.040000000001</v>
      </c>
    </row>
    <row r="16" spans="1:17" s="101" customFormat="1" ht="28.2" customHeight="1">
      <c r="A16" s="174">
        <v>4</v>
      </c>
      <c r="B16" s="97" t="s">
        <v>262</v>
      </c>
      <c r="C16" s="197">
        <v>836</v>
      </c>
      <c r="D16" s="197">
        <v>836</v>
      </c>
      <c r="E16" s="114">
        <f>55.944+412.967+65</f>
        <v>533.91100000000006</v>
      </c>
      <c r="F16" s="114">
        <f>173.402+19.09+19.98</f>
        <v>212.47199999999998</v>
      </c>
      <c r="G16" s="114">
        <f t="shared" si="2"/>
        <v>89.616999999999962</v>
      </c>
      <c r="H16" s="115"/>
      <c r="I16" s="115"/>
      <c r="J16" s="115"/>
      <c r="K16" s="218">
        <f t="shared" si="4"/>
        <v>919600</v>
      </c>
      <c r="L16" s="218">
        <f>E16*1100</f>
        <v>587302.10000000009</v>
      </c>
      <c r="M16" s="218">
        <f t="shared" si="3"/>
        <v>332297.89999999991</v>
      </c>
      <c r="N16" s="218">
        <f>F16*1100</f>
        <v>233719.19999999998</v>
      </c>
      <c r="O16" s="218">
        <f>G16*1100</f>
        <v>98578.699999999953</v>
      </c>
    </row>
    <row r="17" spans="1:15" s="99" customFormat="1" ht="28.2" customHeight="1">
      <c r="A17" s="174">
        <v>5</v>
      </c>
      <c r="B17" s="97" t="s">
        <v>263</v>
      </c>
      <c r="C17" s="197">
        <v>1061</v>
      </c>
      <c r="D17" s="197">
        <v>1061</v>
      </c>
      <c r="E17" s="114">
        <f>191+33.11+78.6</f>
        <v>302.71000000000004</v>
      </c>
      <c r="F17" s="114">
        <f>119+11.825+26.2</f>
        <v>157.02499999999998</v>
      </c>
      <c r="G17" s="114">
        <f t="shared" si="2"/>
        <v>601.26499999999999</v>
      </c>
      <c r="H17" s="119"/>
      <c r="I17" s="119"/>
      <c r="J17" s="119"/>
      <c r="K17" s="218">
        <f t="shared" si="4"/>
        <v>1135270</v>
      </c>
      <c r="L17" s="218">
        <f>E17*1070</f>
        <v>323899.7</v>
      </c>
      <c r="M17" s="218">
        <f>N17+O17</f>
        <v>811370.29999999993</v>
      </c>
      <c r="N17" s="218">
        <f>F17*1070</f>
        <v>168016.74999999997</v>
      </c>
      <c r="O17" s="218">
        <f>G17*1070</f>
        <v>643353.54999999993</v>
      </c>
    </row>
    <row r="18" spans="1:15" s="101" customFormat="1" ht="28.2" customHeight="1">
      <c r="A18" s="174">
        <v>6</v>
      </c>
      <c r="B18" s="97" t="s">
        <v>264</v>
      </c>
      <c r="C18" s="197">
        <v>880</v>
      </c>
      <c r="D18" s="197">
        <v>880</v>
      </c>
      <c r="E18" s="114">
        <f>143.69+76.95+43.77</f>
        <v>264.40999999999997</v>
      </c>
      <c r="F18" s="114">
        <v>615.59</v>
      </c>
      <c r="G18" s="114">
        <f t="shared" si="2"/>
        <v>0</v>
      </c>
      <c r="H18" s="115"/>
      <c r="I18" s="115"/>
      <c r="J18" s="115"/>
      <c r="K18" s="218">
        <f t="shared" si="4"/>
        <v>957440</v>
      </c>
      <c r="L18" s="218">
        <f>E18*1088</f>
        <v>287678.07999999996</v>
      </c>
      <c r="M18" s="218">
        <f t="shared" ref="M18" si="5">N18+O18</f>
        <v>669761.92000000004</v>
      </c>
      <c r="N18" s="218">
        <f>F18*1088</f>
        <v>669761.92000000004</v>
      </c>
      <c r="O18" s="219">
        <f>G18*1088</f>
        <v>0</v>
      </c>
    </row>
    <row r="19" spans="1:15" s="101" customFormat="1" ht="28.2" customHeight="1">
      <c r="A19" s="174">
        <v>7</v>
      </c>
      <c r="B19" s="97" t="s">
        <v>265</v>
      </c>
      <c r="C19" s="197">
        <v>513.49800000000005</v>
      </c>
      <c r="D19" s="197">
        <v>513.49800000000005</v>
      </c>
      <c r="E19" s="114">
        <f>108.652+71.527+16.061</f>
        <v>196.24</v>
      </c>
      <c r="F19" s="114">
        <v>317.26</v>
      </c>
      <c r="G19" s="114">
        <v>0</v>
      </c>
      <c r="H19" s="115"/>
      <c r="I19" s="115"/>
      <c r="J19" s="115"/>
      <c r="K19" s="218">
        <f t="shared" si="4"/>
        <v>572501.15</v>
      </c>
      <c r="L19" s="218">
        <f>E19*1114.9</f>
        <v>218787.97600000002</v>
      </c>
      <c r="M19" s="218">
        <f>F19*1114.9</f>
        <v>353713.174</v>
      </c>
      <c r="N19" s="218">
        <f>F19*1114.9</f>
        <v>353713.174</v>
      </c>
      <c r="O19" s="219">
        <f>G19*1114.9</f>
        <v>0</v>
      </c>
    </row>
    <row r="20" spans="1:15" s="101" customFormat="1" ht="28.2" customHeight="1">
      <c r="A20" s="174">
        <v>8</v>
      </c>
      <c r="B20" s="97" t="s">
        <v>266</v>
      </c>
      <c r="C20" s="197">
        <v>200</v>
      </c>
      <c r="D20" s="197">
        <f>+E20+F20</f>
        <v>182.15199999999999</v>
      </c>
      <c r="E20" s="114">
        <f>8.09+85.651</f>
        <v>93.741</v>
      </c>
      <c r="F20" s="114">
        <f>16.18+57.101+15.13</f>
        <v>88.411000000000001</v>
      </c>
      <c r="G20" s="114">
        <v>0</v>
      </c>
      <c r="H20" s="115">
        <v>32.99</v>
      </c>
      <c r="I20" s="115">
        <v>15.13</v>
      </c>
      <c r="J20" s="115">
        <v>17.850000000000001</v>
      </c>
      <c r="K20" s="218">
        <f t="shared" si="4"/>
        <v>274293.3</v>
      </c>
      <c r="L20" s="218">
        <f>E20*1275</f>
        <v>119519.77499999999</v>
      </c>
      <c r="M20" s="218">
        <f>N20+O20</f>
        <v>154773.52499999999</v>
      </c>
      <c r="N20" s="218">
        <f>(F20+I20)*1275</f>
        <v>132014.77499999999</v>
      </c>
      <c r="O20" s="218">
        <f>J20*1275</f>
        <v>22758.75</v>
      </c>
    </row>
    <row r="22" spans="1:15" ht="15.6">
      <c r="K22" s="413"/>
      <c r="L22" s="413"/>
      <c r="M22" s="413"/>
      <c r="N22" s="413"/>
    </row>
    <row r="23" spans="1:15" ht="15.6">
      <c r="K23" s="393"/>
      <c r="L23" s="393"/>
      <c r="M23" s="393"/>
      <c r="N23" s="393"/>
    </row>
    <row r="24" spans="1:15" ht="15.6">
      <c r="K24" s="212"/>
      <c r="L24" s="104"/>
      <c r="M24" s="104"/>
      <c r="N24" s="213"/>
    </row>
  </sheetData>
  <mergeCells count="20">
    <mergeCell ref="L7:L8"/>
    <mergeCell ref="M7:M8"/>
    <mergeCell ref="N7:O7"/>
    <mergeCell ref="K22:N22"/>
    <mergeCell ref="K23:N23"/>
    <mergeCell ref="A4:O4"/>
    <mergeCell ref="A6:A8"/>
    <mergeCell ref="B6:B8"/>
    <mergeCell ref="C6:C8"/>
    <mergeCell ref="D6:D8"/>
    <mergeCell ref="E6:G6"/>
    <mergeCell ref="H6:H8"/>
    <mergeCell ref="I6:J6"/>
    <mergeCell ref="K6:K8"/>
    <mergeCell ref="L6:O6"/>
    <mergeCell ref="E7:E8"/>
    <mergeCell ref="F7:F8"/>
    <mergeCell ref="G7:G8"/>
    <mergeCell ref="I7:I8"/>
    <mergeCell ref="J7:J8"/>
  </mergeCells>
  <printOptions horizontalCentered="1"/>
  <pageMargins left="0" right="0.11811023622047245" top="0.15748031496062992" bottom="0" header="0.31496062992125984" footer="0.31496062992125984"/>
  <pageSetup paperSize="9" scale="8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5"/>
  <sheetViews>
    <sheetView workbookViewId="0">
      <selection activeCell="B15" sqref="B15"/>
    </sheetView>
  </sheetViews>
  <sheetFormatPr defaultRowHeight="13.2"/>
  <cols>
    <col min="1" max="1" width="4.59765625" style="130" customWidth="1"/>
    <col min="2" max="2" width="11.69921875" style="130" customWidth="1"/>
    <col min="3" max="3" width="10.796875" style="223" customWidth="1"/>
    <col min="4" max="7" width="8.09765625" style="130" customWidth="1"/>
    <col min="8" max="8" width="9.5" style="233" customWidth="1"/>
    <col min="9" max="9" width="8" style="130" customWidth="1"/>
    <col min="10" max="10" width="9.8984375" style="130" customWidth="1"/>
    <col min="11" max="14" width="8" style="130" customWidth="1"/>
    <col min="15" max="15" width="8.59765625" style="130" customWidth="1"/>
    <col min="16" max="16" width="8" style="130" customWidth="1"/>
    <col min="17" max="261" width="8.796875" style="130"/>
    <col min="262" max="262" width="5.19921875" style="130" customWidth="1"/>
    <col min="263" max="263" width="16.19921875" style="130" customWidth="1"/>
    <col min="264" max="264" width="12.59765625" style="130" customWidth="1"/>
    <col min="265" max="268" width="8.8984375" style="130" customWidth="1"/>
    <col min="269" max="269" width="9.3984375" style="130" customWidth="1"/>
    <col min="270" max="270" width="10" style="130" customWidth="1"/>
    <col min="271" max="271" width="11.8984375" style="130" customWidth="1"/>
    <col min="272" max="272" width="11.69921875" style="130" customWidth="1"/>
    <col min="273" max="517" width="8.796875" style="130"/>
    <col min="518" max="518" width="5.19921875" style="130" customWidth="1"/>
    <col min="519" max="519" width="16.19921875" style="130" customWidth="1"/>
    <col min="520" max="520" width="12.59765625" style="130" customWidth="1"/>
    <col min="521" max="524" width="8.8984375" style="130" customWidth="1"/>
    <col min="525" max="525" width="9.3984375" style="130" customWidth="1"/>
    <col min="526" max="526" width="10" style="130" customWidth="1"/>
    <col min="527" max="527" width="11.8984375" style="130" customWidth="1"/>
    <col min="528" max="528" width="11.69921875" style="130" customWidth="1"/>
    <col min="529" max="773" width="8.796875" style="130"/>
    <col min="774" max="774" width="5.19921875" style="130" customWidth="1"/>
    <col min="775" max="775" width="16.19921875" style="130" customWidth="1"/>
    <col min="776" max="776" width="12.59765625" style="130" customWidth="1"/>
    <col min="777" max="780" width="8.8984375" style="130" customWidth="1"/>
    <col min="781" max="781" width="9.3984375" style="130" customWidth="1"/>
    <col min="782" max="782" width="10" style="130" customWidth="1"/>
    <col min="783" max="783" width="11.8984375" style="130" customWidth="1"/>
    <col min="784" max="784" width="11.69921875" style="130" customWidth="1"/>
    <col min="785" max="1029" width="8.796875" style="130"/>
    <col min="1030" max="1030" width="5.19921875" style="130" customWidth="1"/>
    <col min="1031" max="1031" width="16.19921875" style="130" customWidth="1"/>
    <col min="1032" max="1032" width="12.59765625" style="130" customWidth="1"/>
    <col min="1033" max="1036" width="8.8984375" style="130" customWidth="1"/>
    <col min="1037" max="1037" width="9.3984375" style="130" customWidth="1"/>
    <col min="1038" max="1038" width="10" style="130" customWidth="1"/>
    <col min="1039" max="1039" width="11.8984375" style="130" customWidth="1"/>
    <col min="1040" max="1040" width="11.69921875" style="130" customWidth="1"/>
    <col min="1041" max="1285" width="8.796875" style="130"/>
    <col min="1286" max="1286" width="5.19921875" style="130" customWidth="1"/>
    <col min="1287" max="1287" width="16.19921875" style="130" customWidth="1"/>
    <col min="1288" max="1288" width="12.59765625" style="130" customWidth="1"/>
    <col min="1289" max="1292" width="8.8984375" style="130" customWidth="1"/>
    <col min="1293" max="1293" width="9.3984375" style="130" customWidth="1"/>
    <col min="1294" max="1294" width="10" style="130" customWidth="1"/>
    <col min="1295" max="1295" width="11.8984375" style="130" customWidth="1"/>
    <col min="1296" max="1296" width="11.69921875" style="130" customWidth="1"/>
    <col min="1297" max="1541" width="8.796875" style="130"/>
    <col min="1542" max="1542" width="5.19921875" style="130" customWidth="1"/>
    <col min="1543" max="1543" width="16.19921875" style="130" customWidth="1"/>
    <col min="1544" max="1544" width="12.59765625" style="130" customWidth="1"/>
    <col min="1545" max="1548" width="8.8984375" style="130" customWidth="1"/>
    <col min="1549" max="1549" width="9.3984375" style="130" customWidth="1"/>
    <col min="1550" max="1550" width="10" style="130" customWidth="1"/>
    <col min="1551" max="1551" width="11.8984375" style="130" customWidth="1"/>
    <col min="1552" max="1552" width="11.69921875" style="130" customWidth="1"/>
    <col min="1553" max="1797" width="8.796875" style="130"/>
    <col min="1798" max="1798" width="5.19921875" style="130" customWidth="1"/>
    <col min="1799" max="1799" width="16.19921875" style="130" customWidth="1"/>
    <col min="1800" max="1800" width="12.59765625" style="130" customWidth="1"/>
    <col min="1801" max="1804" width="8.8984375" style="130" customWidth="1"/>
    <col min="1805" max="1805" width="9.3984375" style="130" customWidth="1"/>
    <col min="1806" max="1806" width="10" style="130" customWidth="1"/>
    <col min="1807" max="1807" width="11.8984375" style="130" customWidth="1"/>
    <col min="1808" max="1808" width="11.69921875" style="130" customWidth="1"/>
    <col min="1809" max="2053" width="8.796875" style="130"/>
    <col min="2054" max="2054" width="5.19921875" style="130" customWidth="1"/>
    <col min="2055" max="2055" width="16.19921875" style="130" customWidth="1"/>
    <col min="2056" max="2056" width="12.59765625" style="130" customWidth="1"/>
    <col min="2057" max="2060" width="8.8984375" style="130" customWidth="1"/>
    <col min="2061" max="2061" width="9.3984375" style="130" customWidth="1"/>
    <col min="2062" max="2062" width="10" style="130" customWidth="1"/>
    <col min="2063" max="2063" width="11.8984375" style="130" customWidth="1"/>
    <col min="2064" max="2064" width="11.69921875" style="130" customWidth="1"/>
    <col min="2065" max="2309" width="8.796875" style="130"/>
    <col min="2310" max="2310" width="5.19921875" style="130" customWidth="1"/>
    <col min="2311" max="2311" width="16.19921875" style="130" customWidth="1"/>
    <col min="2312" max="2312" width="12.59765625" style="130" customWidth="1"/>
    <col min="2313" max="2316" width="8.8984375" style="130" customWidth="1"/>
    <col min="2317" max="2317" width="9.3984375" style="130" customWidth="1"/>
    <col min="2318" max="2318" width="10" style="130" customWidth="1"/>
    <col min="2319" max="2319" width="11.8984375" style="130" customWidth="1"/>
    <col min="2320" max="2320" width="11.69921875" style="130" customWidth="1"/>
    <col min="2321" max="2565" width="8.796875" style="130"/>
    <col min="2566" max="2566" width="5.19921875" style="130" customWidth="1"/>
    <col min="2567" max="2567" width="16.19921875" style="130" customWidth="1"/>
    <col min="2568" max="2568" width="12.59765625" style="130" customWidth="1"/>
    <col min="2569" max="2572" width="8.8984375" style="130" customWidth="1"/>
    <col min="2573" max="2573" width="9.3984375" style="130" customWidth="1"/>
    <col min="2574" max="2574" width="10" style="130" customWidth="1"/>
    <col min="2575" max="2575" width="11.8984375" style="130" customWidth="1"/>
    <col min="2576" max="2576" width="11.69921875" style="130" customWidth="1"/>
    <col min="2577" max="2821" width="8.796875" style="130"/>
    <col min="2822" max="2822" width="5.19921875" style="130" customWidth="1"/>
    <col min="2823" max="2823" width="16.19921875" style="130" customWidth="1"/>
    <col min="2824" max="2824" width="12.59765625" style="130" customWidth="1"/>
    <col min="2825" max="2828" width="8.8984375" style="130" customWidth="1"/>
    <col min="2829" max="2829" width="9.3984375" style="130" customWidth="1"/>
    <col min="2830" max="2830" width="10" style="130" customWidth="1"/>
    <col min="2831" max="2831" width="11.8984375" style="130" customWidth="1"/>
    <col min="2832" max="2832" width="11.69921875" style="130" customWidth="1"/>
    <col min="2833" max="3077" width="8.796875" style="130"/>
    <col min="3078" max="3078" width="5.19921875" style="130" customWidth="1"/>
    <col min="3079" max="3079" width="16.19921875" style="130" customWidth="1"/>
    <col min="3080" max="3080" width="12.59765625" style="130" customWidth="1"/>
    <col min="3081" max="3084" width="8.8984375" style="130" customWidth="1"/>
    <col min="3085" max="3085" width="9.3984375" style="130" customWidth="1"/>
    <col min="3086" max="3086" width="10" style="130" customWidth="1"/>
    <col min="3087" max="3087" width="11.8984375" style="130" customWidth="1"/>
    <col min="3088" max="3088" width="11.69921875" style="130" customWidth="1"/>
    <col min="3089" max="3333" width="8.796875" style="130"/>
    <col min="3334" max="3334" width="5.19921875" style="130" customWidth="1"/>
    <col min="3335" max="3335" width="16.19921875" style="130" customWidth="1"/>
    <col min="3336" max="3336" width="12.59765625" style="130" customWidth="1"/>
    <col min="3337" max="3340" width="8.8984375" style="130" customWidth="1"/>
    <col min="3341" max="3341" width="9.3984375" style="130" customWidth="1"/>
    <col min="3342" max="3342" width="10" style="130" customWidth="1"/>
    <col min="3343" max="3343" width="11.8984375" style="130" customWidth="1"/>
    <col min="3344" max="3344" width="11.69921875" style="130" customWidth="1"/>
    <col min="3345" max="3589" width="8.796875" style="130"/>
    <col min="3590" max="3590" width="5.19921875" style="130" customWidth="1"/>
    <col min="3591" max="3591" width="16.19921875" style="130" customWidth="1"/>
    <col min="3592" max="3592" width="12.59765625" style="130" customWidth="1"/>
    <col min="3593" max="3596" width="8.8984375" style="130" customWidth="1"/>
    <col min="3597" max="3597" width="9.3984375" style="130" customWidth="1"/>
    <col min="3598" max="3598" width="10" style="130" customWidth="1"/>
    <col min="3599" max="3599" width="11.8984375" style="130" customWidth="1"/>
    <col min="3600" max="3600" width="11.69921875" style="130" customWidth="1"/>
    <col min="3601" max="3845" width="8.796875" style="130"/>
    <col min="3846" max="3846" width="5.19921875" style="130" customWidth="1"/>
    <col min="3847" max="3847" width="16.19921875" style="130" customWidth="1"/>
    <col min="3848" max="3848" width="12.59765625" style="130" customWidth="1"/>
    <col min="3849" max="3852" width="8.8984375" style="130" customWidth="1"/>
    <col min="3853" max="3853" width="9.3984375" style="130" customWidth="1"/>
    <col min="3854" max="3854" width="10" style="130" customWidth="1"/>
    <col min="3855" max="3855" width="11.8984375" style="130" customWidth="1"/>
    <col min="3856" max="3856" width="11.69921875" style="130" customWidth="1"/>
    <col min="3857" max="4101" width="8.796875" style="130"/>
    <col min="4102" max="4102" width="5.19921875" style="130" customWidth="1"/>
    <col min="4103" max="4103" width="16.19921875" style="130" customWidth="1"/>
    <col min="4104" max="4104" width="12.59765625" style="130" customWidth="1"/>
    <col min="4105" max="4108" width="8.8984375" style="130" customWidth="1"/>
    <col min="4109" max="4109" width="9.3984375" style="130" customWidth="1"/>
    <col min="4110" max="4110" width="10" style="130" customWidth="1"/>
    <col min="4111" max="4111" width="11.8984375" style="130" customWidth="1"/>
    <col min="4112" max="4112" width="11.69921875" style="130" customWidth="1"/>
    <col min="4113" max="4357" width="8.796875" style="130"/>
    <col min="4358" max="4358" width="5.19921875" style="130" customWidth="1"/>
    <col min="4359" max="4359" width="16.19921875" style="130" customWidth="1"/>
    <col min="4360" max="4360" width="12.59765625" style="130" customWidth="1"/>
    <col min="4361" max="4364" width="8.8984375" style="130" customWidth="1"/>
    <col min="4365" max="4365" width="9.3984375" style="130" customWidth="1"/>
    <col min="4366" max="4366" width="10" style="130" customWidth="1"/>
    <col min="4367" max="4367" width="11.8984375" style="130" customWidth="1"/>
    <col min="4368" max="4368" width="11.69921875" style="130" customWidth="1"/>
    <col min="4369" max="4613" width="8.796875" style="130"/>
    <col min="4614" max="4614" width="5.19921875" style="130" customWidth="1"/>
    <col min="4615" max="4615" width="16.19921875" style="130" customWidth="1"/>
    <col min="4616" max="4616" width="12.59765625" style="130" customWidth="1"/>
    <col min="4617" max="4620" width="8.8984375" style="130" customWidth="1"/>
    <col min="4621" max="4621" width="9.3984375" style="130" customWidth="1"/>
    <col min="4622" max="4622" width="10" style="130" customWidth="1"/>
    <col min="4623" max="4623" width="11.8984375" style="130" customWidth="1"/>
    <col min="4624" max="4624" width="11.69921875" style="130" customWidth="1"/>
    <col min="4625" max="4869" width="8.796875" style="130"/>
    <col min="4870" max="4870" width="5.19921875" style="130" customWidth="1"/>
    <col min="4871" max="4871" width="16.19921875" style="130" customWidth="1"/>
    <col min="4872" max="4872" width="12.59765625" style="130" customWidth="1"/>
    <col min="4873" max="4876" width="8.8984375" style="130" customWidth="1"/>
    <col min="4877" max="4877" width="9.3984375" style="130" customWidth="1"/>
    <col min="4878" max="4878" width="10" style="130" customWidth="1"/>
    <col min="4879" max="4879" width="11.8984375" style="130" customWidth="1"/>
    <col min="4880" max="4880" width="11.69921875" style="130" customWidth="1"/>
    <col min="4881" max="5125" width="8.796875" style="130"/>
    <col min="5126" max="5126" width="5.19921875" style="130" customWidth="1"/>
    <col min="5127" max="5127" width="16.19921875" style="130" customWidth="1"/>
    <col min="5128" max="5128" width="12.59765625" style="130" customWidth="1"/>
    <col min="5129" max="5132" width="8.8984375" style="130" customWidth="1"/>
    <col min="5133" max="5133" width="9.3984375" style="130" customWidth="1"/>
    <col min="5134" max="5134" width="10" style="130" customWidth="1"/>
    <col min="5135" max="5135" width="11.8984375" style="130" customWidth="1"/>
    <col min="5136" max="5136" width="11.69921875" style="130" customWidth="1"/>
    <col min="5137" max="5381" width="8.796875" style="130"/>
    <col min="5382" max="5382" width="5.19921875" style="130" customWidth="1"/>
    <col min="5383" max="5383" width="16.19921875" style="130" customWidth="1"/>
    <col min="5384" max="5384" width="12.59765625" style="130" customWidth="1"/>
    <col min="5385" max="5388" width="8.8984375" style="130" customWidth="1"/>
    <col min="5389" max="5389" width="9.3984375" style="130" customWidth="1"/>
    <col min="5390" max="5390" width="10" style="130" customWidth="1"/>
    <col min="5391" max="5391" width="11.8984375" style="130" customWidth="1"/>
    <col min="5392" max="5392" width="11.69921875" style="130" customWidth="1"/>
    <col min="5393" max="5637" width="8.796875" style="130"/>
    <col min="5638" max="5638" width="5.19921875" style="130" customWidth="1"/>
    <col min="5639" max="5639" width="16.19921875" style="130" customWidth="1"/>
    <col min="5640" max="5640" width="12.59765625" style="130" customWidth="1"/>
    <col min="5641" max="5644" width="8.8984375" style="130" customWidth="1"/>
    <col min="5645" max="5645" width="9.3984375" style="130" customWidth="1"/>
    <col min="5646" max="5646" width="10" style="130" customWidth="1"/>
    <col min="5647" max="5647" width="11.8984375" style="130" customWidth="1"/>
    <col min="5648" max="5648" width="11.69921875" style="130" customWidth="1"/>
    <col min="5649" max="5893" width="8.796875" style="130"/>
    <col min="5894" max="5894" width="5.19921875" style="130" customWidth="1"/>
    <col min="5895" max="5895" width="16.19921875" style="130" customWidth="1"/>
    <col min="5896" max="5896" width="12.59765625" style="130" customWidth="1"/>
    <col min="5897" max="5900" width="8.8984375" style="130" customWidth="1"/>
    <col min="5901" max="5901" width="9.3984375" style="130" customWidth="1"/>
    <col min="5902" max="5902" width="10" style="130" customWidth="1"/>
    <col min="5903" max="5903" width="11.8984375" style="130" customWidth="1"/>
    <col min="5904" max="5904" width="11.69921875" style="130" customWidth="1"/>
    <col min="5905" max="6149" width="8.796875" style="130"/>
    <col min="6150" max="6150" width="5.19921875" style="130" customWidth="1"/>
    <col min="6151" max="6151" width="16.19921875" style="130" customWidth="1"/>
    <col min="6152" max="6152" width="12.59765625" style="130" customWidth="1"/>
    <col min="6153" max="6156" width="8.8984375" style="130" customWidth="1"/>
    <col min="6157" max="6157" width="9.3984375" style="130" customWidth="1"/>
    <col min="6158" max="6158" width="10" style="130" customWidth="1"/>
    <col min="6159" max="6159" width="11.8984375" style="130" customWidth="1"/>
    <col min="6160" max="6160" width="11.69921875" style="130" customWidth="1"/>
    <col min="6161" max="6405" width="8.796875" style="130"/>
    <col min="6406" max="6406" width="5.19921875" style="130" customWidth="1"/>
    <col min="6407" max="6407" width="16.19921875" style="130" customWidth="1"/>
    <col min="6408" max="6408" width="12.59765625" style="130" customWidth="1"/>
    <col min="6409" max="6412" width="8.8984375" style="130" customWidth="1"/>
    <col min="6413" max="6413" width="9.3984375" style="130" customWidth="1"/>
    <col min="6414" max="6414" width="10" style="130" customWidth="1"/>
    <col min="6415" max="6415" width="11.8984375" style="130" customWidth="1"/>
    <col min="6416" max="6416" width="11.69921875" style="130" customWidth="1"/>
    <col min="6417" max="6661" width="8.796875" style="130"/>
    <col min="6662" max="6662" width="5.19921875" style="130" customWidth="1"/>
    <col min="6663" max="6663" width="16.19921875" style="130" customWidth="1"/>
    <col min="6664" max="6664" width="12.59765625" style="130" customWidth="1"/>
    <col min="6665" max="6668" width="8.8984375" style="130" customWidth="1"/>
    <col min="6669" max="6669" width="9.3984375" style="130" customWidth="1"/>
    <col min="6670" max="6670" width="10" style="130" customWidth="1"/>
    <col min="6671" max="6671" width="11.8984375" style="130" customWidth="1"/>
    <col min="6672" max="6672" width="11.69921875" style="130" customWidth="1"/>
    <col min="6673" max="6917" width="8.796875" style="130"/>
    <col min="6918" max="6918" width="5.19921875" style="130" customWidth="1"/>
    <col min="6919" max="6919" width="16.19921875" style="130" customWidth="1"/>
    <col min="6920" max="6920" width="12.59765625" style="130" customWidth="1"/>
    <col min="6921" max="6924" width="8.8984375" style="130" customWidth="1"/>
    <col min="6925" max="6925" width="9.3984375" style="130" customWidth="1"/>
    <col min="6926" max="6926" width="10" style="130" customWidth="1"/>
    <col min="6927" max="6927" width="11.8984375" style="130" customWidth="1"/>
    <col min="6928" max="6928" width="11.69921875" style="130" customWidth="1"/>
    <col min="6929" max="7173" width="8.796875" style="130"/>
    <col min="7174" max="7174" width="5.19921875" style="130" customWidth="1"/>
    <col min="7175" max="7175" width="16.19921875" style="130" customWidth="1"/>
    <col min="7176" max="7176" width="12.59765625" style="130" customWidth="1"/>
    <col min="7177" max="7180" width="8.8984375" style="130" customWidth="1"/>
    <col min="7181" max="7181" width="9.3984375" style="130" customWidth="1"/>
    <col min="7182" max="7182" width="10" style="130" customWidth="1"/>
    <col min="7183" max="7183" width="11.8984375" style="130" customWidth="1"/>
    <col min="7184" max="7184" width="11.69921875" style="130" customWidth="1"/>
    <col min="7185" max="7429" width="8.796875" style="130"/>
    <col min="7430" max="7430" width="5.19921875" style="130" customWidth="1"/>
    <col min="7431" max="7431" width="16.19921875" style="130" customWidth="1"/>
    <col min="7432" max="7432" width="12.59765625" style="130" customWidth="1"/>
    <col min="7433" max="7436" width="8.8984375" style="130" customWidth="1"/>
    <col min="7437" max="7437" width="9.3984375" style="130" customWidth="1"/>
    <col min="7438" max="7438" width="10" style="130" customWidth="1"/>
    <col min="7439" max="7439" width="11.8984375" style="130" customWidth="1"/>
    <col min="7440" max="7440" width="11.69921875" style="130" customWidth="1"/>
    <col min="7441" max="7685" width="8.796875" style="130"/>
    <col min="7686" max="7686" width="5.19921875" style="130" customWidth="1"/>
    <col min="7687" max="7687" width="16.19921875" style="130" customWidth="1"/>
    <col min="7688" max="7688" width="12.59765625" style="130" customWidth="1"/>
    <col min="7689" max="7692" width="8.8984375" style="130" customWidth="1"/>
    <col min="7693" max="7693" width="9.3984375" style="130" customWidth="1"/>
    <col min="7694" max="7694" width="10" style="130" customWidth="1"/>
    <col min="7695" max="7695" width="11.8984375" style="130" customWidth="1"/>
    <col min="7696" max="7696" width="11.69921875" style="130" customWidth="1"/>
    <col min="7697" max="7941" width="8.796875" style="130"/>
    <col min="7942" max="7942" width="5.19921875" style="130" customWidth="1"/>
    <col min="7943" max="7943" width="16.19921875" style="130" customWidth="1"/>
    <col min="7944" max="7944" width="12.59765625" style="130" customWidth="1"/>
    <col min="7945" max="7948" width="8.8984375" style="130" customWidth="1"/>
    <col min="7949" max="7949" width="9.3984375" style="130" customWidth="1"/>
    <col min="7950" max="7950" width="10" style="130" customWidth="1"/>
    <col min="7951" max="7951" width="11.8984375" style="130" customWidth="1"/>
    <col min="7952" max="7952" width="11.69921875" style="130" customWidth="1"/>
    <col min="7953" max="8197" width="8.796875" style="130"/>
    <col min="8198" max="8198" width="5.19921875" style="130" customWidth="1"/>
    <col min="8199" max="8199" width="16.19921875" style="130" customWidth="1"/>
    <col min="8200" max="8200" width="12.59765625" style="130" customWidth="1"/>
    <col min="8201" max="8204" width="8.8984375" style="130" customWidth="1"/>
    <col min="8205" max="8205" width="9.3984375" style="130" customWidth="1"/>
    <col min="8206" max="8206" width="10" style="130" customWidth="1"/>
    <col min="8207" max="8207" width="11.8984375" style="130" customWidth="1"/>
    <col min="8208" max="8208" width="11.69921875" style="130" customWidth="1"/>
    <col min="8209" max="8453" width="8.796875" style="130"/>
    <col min="8454" max="8454" width="5.19921875" style="130" customWidth="1"/>
    <col min="8455" max="8455" width="16.19921875" style="130" customWidth="1"/>
    <col min="8456" max="8456" width="12.59765625" style="130" customWidth="1"/>
    <col min="8457" max="8460" width="8.8984375" style="130" customWidth="1"/>
    <col min="8461" max="8461" width="9.3984375" style="130" customWidth="1"/>
    <col min="8462" max="8462" width="10" style="130" customWidth="1"/>
    <col min="8463" max="8463" width="11.8984375" style="130" customWidth="1"/>
    <col min="8464" max="8464" width="11.69921875" style="130" customWidth="1"/>
    <col min="8465" max="8709" width="8.796875" style="130"/>
    <col min="8710" max="8710" width="5.19921875" style="130" customWidth="1"/>
    <col min="8711" max="8711" width="16.19921875" style="130" customWidth="1"/>
    <col min="8712" max="8712" width="12.59765625" style="130" customWidth="1"/>
    <col min="8713" max="8716" width="8.8984375" style="130" customWidth="1"/>
    <col min="8717" max="8717" width="9.3984375" style="130" customWidth="1"/>
    <col min="8718" max="8718" width="10" style="130" customWidth="1"/>
    <col min="8719" max="8719" width="11.8984375" style="130" customWidth="1"/>
    <col min="8720" max="8720" width="11.69921875" style="130" customWidth="1"/>
    <col min="8721" max="8965" width="8.796875" style="130"/>
    <col min="8966" max="8966" width="5.19921875" style="130" customWidth="1"/>
    <col min="8967" max="8967" width="16.19921875" style="130" customWidth="1"/>
    <col min="8968" max="8968" width="12.59765625" style="130" customWidth="1"/>
    <col min="8969" max="8972" width="8.8984375" style="130" customWidth="1"/>
    <col min="8973" max="8973" width="9.3984375" style="130" customWidth="1"/>
    <col min="8974" max="8974" width="10" style="130" customWidth="1"/>
    <col min="8975" max="8975" width="11.8984375" style="130" customWidth="1"/>
    <col min="8976" max="8976" width="11.69921875" style="130" customWidth="1"/>
    <col min="8977" max="9221" width="8.796875" style="130"/>
    <col min="9222" max="9222" width="5.19921875" style="130" customWidth="1"/>
    <col min="9223" max="9223" width="16.19921875" style="130" customWidth="1"/>
    <col min="9224" max="9224" width="12.59765625" style="130" customWidth="1"/>
    <col min="9225" max="9228" width="8.8984375" style="130" customWidth="1"/>
    <col min="9229" max="9229" width="9.3984375" style="130" customWidth="1"/>
    <col min="9230" max="9230" width="10" style="130" customWidth="1"/>
    <col min="9231" max="9231" width="11.8984375" style="130" customWidth="1"/>
    <col min="9232" max="9232" width="11.69921875" style="130" customWidth="1"/>
    <col min="9233" max="9477" width="8.796875" style="130"/>
    <col min="9478" max="9478" width="5.19921875" style="130" customWidth="1"/>
    <col min="9479" max="9479" width="16.19921875" style="130" customWidth="1"/>
    <col min="9480" max="9480" width="12.59765625" style="130" customWidth="1"/>
    <col min="9481" max="9484" width="8.8984375" style="130" customWidth="1"/>
    <col min="9485" max="9485" width="9.3984375" style="130" customWidth="1"/>
    <col min="9486" max="9486" width="10" style="130" customWidth="1"/>
    <col min="9487" max="9487" width="11.8984375" style="130" customWidth="1"/>
    <col min="9488" max="9488" width="11.69921875" style="130" customWidth="1"/>
    <col min="9489" max="9733" width="8.796875" style="130"/>
    <col min="9734" max="9734" width="5.19921875" style="130" customWidth="1"/>
    <col min="9735" max="9735" width="16.19921875" style="130" customWidth="1"/>
    <col min="9736" max="9736" width="12.59765625" style="130" customWidth="1"/>
    <col min="9737" max="9740" width="8.8984375" style="130" customWidth="1"/>
    <col min="9741" max="9741" width="9.3984375" style="130" customWidth="1"/>
    <col min="9742" max="9742" width="10" style="130" customWidth="1"/>
    <col min="9743" max="9743" width="11.8984375" style="130" customWidth="1"/>
    <col min="9744" max="9744" width="11.69921875" style="130" customWidth="1"/>
    <col min="9745" max="9989" width="8.796875" style="130"/>
    <col min="9990" max="9990" width="5.19921875" style="130" customWidth="1"/>
    <col min="9991" max="9991" width="16.19921875" style="130" customWidth="1"/>
    <col min="9992" max="9992" width="12.59765625" style="130" customWidth="1"/>
    <col min="9993" max="9996" width="8.8984375" style="130" customWidth="1"/>
    <col min="9997" max="9997" width="9.3984375" style="130" customWidth="1"/>
    <col min="9998" max="9998" width="10" style="130" customWidth="1"/>
    <col min="9999" max="9999" width="11.8984375" style="130" customWidth="1"/>
    <col min="10000" max="10000" width="11.69921875" style="130" customWidth="1"/>
    <col min="10001" max="10245" width="8.796875" style="130"/>
    <col min="10246" max="10246" width="5.19921875" style="130" customWidth="1"/>
    <col min="10247" max="10247" width="16.19921875" style="130" customWidth="1"/>
    <col min="10248" max="10248" width="12.59765625" style="130" customWidth="1"/>
    <col min="10249" max="10252" width="8.8984375" style="130" customWidth="1"/>
    <col min="10253" max="10253" width="9.3984375" style="130" customWidth="1"/>
    <col min="10254" max="10254" width="10" style="130" customWidth="1"/>
    <col min="10255" max="10255" width="11.8984375" style="130" customWidth="1"/>
    <col min="10256" max="10256" width="11.69921875" style="130" customWidth="1"/>
    <col min="10257" max="10501" width="8.796875" style="130"/>
    <col min="10502" max="10502" width="5.19921875" style="130" customWidth="1"/>
    <col min="10503" max="10503" width="16.19921875" style="130" customWidth="1"/>
    <col min="10504" max="10504" width="12.59765625" style="130" customWidth="1"/>
    <col min="10505" max="10508" width="8.8984375" style="130" customWidth="1"/>
    <col min="10509" max="10509" width="9.3984375" style="130" customWidth="1"/>
    <col min="10510" max="10510" width="10" style="130" customWidth="1"/>
    <col min="10511" max="10511" width="11.8984375" style="130" customWidth="1"/>
    <col min="10512" max="10512" width="11.69921875" style="130" customWidth="1"/>
    <col min="10513" max="10757" width="8.796875" style="130"/>
    <col min="10758" max="10758" width="5.19921875" style="130" customWidth="1"/>
    <col min="10759" max="10759" width="16.19921875" style="130" customWidth="1"/>
    <col min="10760" max="10760" width="12.59765625" style="130" customWidth="1"/>
    <col min="10761" max="10764" width="8.8984375" style="130" customWidth="1"/>
    <col min="10765" max="10765" width="9.3984375" style="130" customWidth="1"/>
    <col min="10766" max="10766" width="10" style="130" customWidth="1"/>
    <col min="10767" max="10767" width="11.8984375" style="130" customWidth="1"/>
    <col min="10768" max="10768" width="11.69921875" style="130" customWidth="1"/>
    <col min="10769" max="11013" width="8.796875" style="130"/>
    <col min="11014" max="11014" width="5.19921875" style="130" customWidth="1"/>
    <col min="11015" max="11015" width="16.19921875" style="130" customWidth="1"/>
    <col min="11016" max="11016" width="12.59765625" style="130" customWidth="1"/>
    <col min="11017" max="11020" width="8.8984375" style="130" customWidth="1"/>
    <col min="11021" max="11021" width="9.3984375" style="130" customWidth="1"/>
    <col min="11022" max="11022" width="10" style="130" customWidth="1"/>
    <col min="11023" max="11023" width="11.8984375" style="130" customWidth="1"/>
    <col min="11024" max="11024" width="11.69921875" style="130" customWidth="1"/>
    <col min="11025" max="11269" width="8.796875" style="130"/>
    <col min="11270" max="11270" width="5.19921875" style="130" customWidth="1"/>
    <col min="11271" max="11271" width="16.19921875" style="130" customWidth="1"/>
    <col min="11272" max="11272" width="12.59765625" style="130" customWidth="1"/>
    <col min="11273" max="11276" width="8.8984375" style="130" customWidth="1"/>
    <col min="11277" max="11277" width="9.3984375" style="130" customWidth="1"/>
    <col min="11278" max="11278" width="10" style="130" customWidth="1"/>
    <col min="11279" max="11279" width="11.8984375" style="130" customWidth="1"/>
    <col min="11280" max="11280" width="11.69921875" style="130" customWidth="1"/>
    <col min="11281" max="11525" width="8.796875" style="130"/>
    <col min="11526" max="11526" width="5.19921875" style="130" customWidth="1"/>
    <col min="11527" max="11527" width="16.19921875" style="130" customWidth="1"/>
    <col min="11528" max="11528" width="12.59765625" style="130" customWidth="1"/>
    <col min="11529" max="11532" width="8.8984375" style="130" customWidth="1"/>
    <col min="11533" max="11533" width="9.3984375" style="130" customWidth="1"/>
    <col min="11534" max="11534" width="10" style="130" customWidth="1"/>
    <col min="11535" max="11535" width="11.8984375" style="130" customWidth="1"/>
    <col min="11536" max="11536" width="11.69921875" style="130" customWidth="1"/>
    <col min="11537" max="11781" width="8.796875" style="130"/>
    <col min="11782" max="11782" width="5.19921875" style="130" customWidth="1"/>
    <col min="11783" max="11783" width="16.19921875" style="130" customWidth="1"/>
    <col min="11784" max="11784" width="12.59765625" style="130" customWidth="1"/>
    <col min="11785" max="11788" width="8.8984375" style="130" customWidth="1"/>
    <col min="11789" max="11789" width="9.3984375" style="130" customWidth="1"/>
    <col min="11790" max="11790" width="10" style="130" customWidth="1"/>
    <col min="11791" max="11791" width="11.8984375" style="130" customWidth="1"/>
    <col min="11792" max="11792" width="11.69921875" style="130" customWidth="1"/>
    <col min="11793" max="12037" width="8.796875" style="130"/>
    <col min="12038" max="12038" width="5.19921875" style="130" customWidth="1"/>
    <col min="12039" max="12039" width="16.19921875" style="130" customWidth="1"/>
    <col min="12040" max="12040" width="12.59765625" style="130" customWidth="1"/>
    <col min="12041" max="12044" width="8.8984375" style="130" customWidth="1"/>
    <col min="12045" max="12045" width="9.3984375" style="130" customWidth="1"/>
    <col min="12046" max="12046" width="10" style="130" customWidth="1"/>
    <col min="12047" max="12047" width="11.8984375" style="130" customWidth="1"/>
    <col min="12048" max="12048" width="11.69921875" style="130" customWidth="1"/>
    <col min="12049" max="12293" width="8.796875" style="130"/>
    <col min="12294" max="12294" width="5.19921875" style="130" customWidth="1"/>
    <col min="12295" max="12295" width="16.19921875" style="130" customWidth="1"/>
    <col min="12296" max="12296" width="12.59765625" style="130" customWidth="1"/>
    <col min="12297" max="12300" width="8.8984375" style="130" customWidth="1"/>
    <col min="12301" max="12301" width="9.3984375" style="130" customWidth="1"/>
    <col min="12302" max="12302" width="10" style="130" customWidth="1"/>
    <col min="12303" max="12303" width="11.8984375" style="130" customWidth="1"/>
    <col min="12304" max="12304" width="11.69921875" style="130" customWidth="1"/>
    <col min="12305" max="12549" width="8.796875" style="130"/>
    <col min="12550" max="12550" width="5.19921875" style="130" customWidth="1"/>
    <col min="12551" max="12551" width="16.19921875" style="130" customWidth="1"/>
    <col min="12552" max="12552" width="12.59765625" style="130" customWidth="1"/>
    <col min="12553" max="12556" width="8.8984375" style="130" customWidth="1"/>
    <col min="12557" max="12557" width="9.3984375" style="130" customWidth="1"/>
    <col min="12558" max="12558" width="10" style="130" customWidth="1"/>
    <col min="12559" max="12559" width="11.8984375" style="130" customWidth="1"/>
    <col min="12560" max="12560" width="11.69921875" style="130" customWidth="1"/>
    <col min="12561" max="12805" width="8.796875" style="130"/>
    <col min="12806" max="12806" width="5.19921875" style="130" customWidth="1"/>
    <col min="12807" max="12807" width="16.19921875" style="130" customWidth="1"/>
    <col min="12808" max="12808" width="12.59765625" style="130" customWidth="1"/>
    <col min="12809" max="12812" width="8.8984375" style="130" customWidth="1"/>
    <col min="12813" max="12813" width="9.3984375" style="130" customWidth="1"/>
    <col min="12814" max="12814" width="10" style="130" customWidth="1"/>
    <col min="12815" max="12815" width="11.8984375" style="130" customWidth="1"/>
    <col min="12816" max="12816" width="11.69921875" style="130" customWidth="1"/>
    <col min="12817" max="13061" width="8.796875" style="130"/>
    <col min="13062" max="13062" width="5.19921875" style="130" customWidth="1"/>
    <col min="13063" max="13063" width="16.19921875" style="130" customWidth="1"/>
    <col min="13064" max="13064" width="12.59765625" style="130" customWidth="1"/>
    <col min="13065" max="13068" width="8.8984375" style="130" customWidth="1"/>
    <col min="13069" max="13069" width="9.3984375" style="130" customWidth="1"/>
    <col min="13070" max="13070" width="10" style="130" customWidth="1"/>
    <col min="13071" max="13071" width="11.8984375" style="130" customWidth="1"/>
    <col min="13072" max="13072" width="11.69921875" style="130" customWidth="1"/>
    <col min="13073" max="13317" width="8.796875" style="130"/>
    <col min="13318" max="13318" width="5.19921875" style="130" customWidth="1"/>
    <col min="13319" max="13319" width="16.19921875" style="130" customWidth="1"/>
    <col min="13320" max="13320" width="12.59765625" style="130" customWidth="1"/>
    <col min="13321" max="13324" width="8.8984375" style="130" customWidth="1"/>
    <col min="13325" max="13325" width="9.3984375" style="130" customWidth="1"/>
    <col min="13326" max="13326" width="10" style="130" customWidth="1"/>
    <col min="13327" max="13327" width="11.8984375" style="130" customWidth="1"/>
    <col min="13328" max="13328" width="11.69921875" style="130" customWidth="1"/>
    <col min="13329" max="13573" width="8.796875" style="130"/>
    <col min="13574" max="13574" width="5.19921875" style="130" customWidth="1"/>
    <col min="13575" max="13575" width="16.19921875" style="130" customWidth="1"/>
    <col min="13576" max="13576" width="12.59765625" style="130" customWidth="1"/>
    <col min="13577" max="13580" width="8.8984375" style="130" customWidth="1"/>
    <col min="13581" max="13581" width="9.3984375" style="130" customWidth="1"/>
    <col min="13582" max="13582" width="10" style="130" customWidth="1"/>
    <col min="13583" max="13583" width="11.8984375" style="130" customWidth="1"/>
    <col min="13584" max="13584" width="11.69921875" style="130" customWidth="1"/>
    <col min="13585" max="13829" width="8.796875" style="130"/>
    <col min="13830" max="13830" width="5.19921875" style="130" customWidth="1"/>
    <col min="13831" max="13831" width="16.19921875" style="130" customWidth="1"/>
    <col min="13832" max="13832" width="12.59765625" style="130" customWidth="1"/>
    <col min="13833" max="13836" width="8.8984375" style="130" customWidth="1"/>
    <col min="13837" max="13837" width="9.3984375" style="130" customWidth="1"/>
    <col min="13838" max="13838" width="10" style="130" customWidth="1"/>
    <col min="13839" max="13839" width="11.8984375" style="130" customWidth="1"/>
    <col min="13840" max="13840" width="11.69921875" style="130" customWidth="1"/>
    <col min="13841" max="14085" width="8.796875" style="130"/>
    <col min="14086" max="14086" width="5.19921875" style="130" customWidth="1"/>
    <col min="14087" max="14087" width="16.19921875" style="130" customWidth="1"/>
    <col min="14088" max="14088" width="12.59765625" style="130" customWidth="1"/>
    <col min="14089" max="14092" width="8.8984375" style="130" customWidth="1"/>
    <col min="14093" max="14093" width="9.3984375" style="130" customWidth="1"/>
    <col min="14094" max="14094" width="10" style="130" customWidth="1"/>
    <col min="14095" max="14095" width="11.8984375" style="130" customWidth="1"/>
    <col min="14096" max="14096" width="11.69921875" style="130" customWidth="1"/>
    <col min="14097" max="14341" width="8.796875" style="130"/>
    <col min="14342" max="14342" width="5.19921875" style="130" customWidth="1"/>
    <col min="14343" max="14343" width="16.19921875" style="130" customWidth="1"/>
    <col min="14344" max="14344" width="12.59765625" style="130" customWidth="1"/>
    <col min="14345" max="14348" width="8.8984375" style="130" customWidth="1"/>
    <col min="14349" max="14349" width="9.3984375" style="130" customWidth="1"/>
    <col min="14350" max="14350" width="10" style="130" customWidth="1"/>
    <col min="14351" max="14351" width="11.8984375" style="130" customWidth="1"/>
    <col min="14352" max="14352" width="11.69921875" style="130" customWidth="1"/>
    <col min="14353" max="14597" width="8.796875" style="130"/>
    <col min="14598" max="14598" width="5.19921875" style="130" customWidth="1"/>
    <col min="14599" max="14599" width="16.19921875" style="130" customWidth="1"/>
    <col min="14600" max="14600" width="12.59765625" style="130" customWidth="1"/>
    <col min="14601" max="14604" width="8.8984375" style="130" customWidth="1"/>
    <col min="14605" max="14605" width="9.3984375" style="130" customWidth="1"/>
    <col min="14606" max="14606" width="10" style="130" customWidth="1"/>
    <col min="14607" max="14607" width="11.8984375" style="130" customWidth="1"/>
    <col min="14608" max="14608" width="11.69921875" style="130" customWidth="1"/>
    <col min="14609" max="14853" width="8.796875" style="130"/>
    <col min="14854" max="14854" width="5.19921875" style="130" customWidth="1"/>
    <col min="14855" max="14855" width="16.19921875" style="130" customWidth="1"/>
    <col min="14856" max="14856" width="12.59765625" style="130" customWidth="1"/>
    <col min="14857" max="14860" width="8.8984375" style="130" customWidth="1"/>
    <col min="14861" max="14861" width="9.3984375" style="130" customWidth="1"/>
    <col min="14862" max="14862" width="10" style="130" customWidth="1"/>
    <col min="14863" max="14863" width="11.8984375" style="130" customWidth="1"/>
    <col min="14864" max="14864" width="11.69921875" style="130" customWidth="1"/>
    <col min="14865" max="15109" width="8.796875" style="130"/>
    <col min="15110" max="15110" width="5.19921875" style="130" customWidth="1"/>
    <col min="15111" max="15111" width="16.19921875" style="130" customWidth="1"/>
    <col min="15112" max="15112" width="12.59765625" style="130" customWidth="1"/>
    <col min="15113" max="15116" width="8.8984375" style="130" customWidth="1"/>
    <col min="15117" max="15117" width="9.3984375" style="130" customWidth="1"/>
    <col min="15118" max="15118" width="10" style="130" customWidth="1"/>
    <col min="15119" max="15119" width="11.8984375" style="130" customWidth="1"/>
    <col min="15120" max="15120" width="11.69921875" style="130" customWidth="1"/>
    <col min="15121" max="15365" width="8.796875" style="130"/>
    <col min="15366" max="15366" width="5.19921875" style="130" customWidth="1"/>
    <col min="15367" max="15367" width="16.19921875" style="130" customWidth="1"/>
    <col min="15368" max="15368" width="12.59765625" style="130" customWidth="1"/>
    <col min="15369" max="15372" width="8.8984375" style="130" customWidth="1"/>
    <col min="15373" max="15373" width="9.3984375" style="130" customWidth="1"/>
    <col min="15374" max="15374" width="10" style="130" customWidth="1"/>
    <col min="15375" max="15375" width="11.8984375" style="130" customWidth="1"/>
    <col min="15376" max="15376" width="11.69921875" style="130" customWidth="1"/>
    <col min="15377" max="15621" width="8.796875" style="130"/>
    <col min="15622" max="15622" width="5.19921875" style="130" customWidth="1"/>
    <col min="15623" max="15623" width="16.19921875" style="130" customWidth="1"/>
    <col min="15624" max="15624" width="12.59765625" style="130" customWidth="1"/>
    <col min="15625" max="15628" width="8.8984375" style="130" customWidth="1"/>
    <col min="15629" max="15629" width="9.3984375" style="130" customWidth="1"/>
    <col min="15630" max="15630" width="10" style="130" customWidth="1"/>
    <col min="15631" max="15631" width="11.8984375" style="130" customWidth="1"/>
    <col min="15632" max="15632" width="11.69921875" style="130" customWidth="1"/>
    <col min="15633" max="15877" width="8.796875" style="130"/>
    <col min="15878" max="15878" width="5.19921875" style="130" customWidth="1"/>
    <col min="15879" max="15879" width="16.19921875" style="130" customWidth="1"/>
    <col min="15880" max="15880" width="12.59765625" style="130" customWidth="1"/>
    <col min="15881" max="15884" width="8.8984375" style="130" customWidth="1"/>
    <col min="15885" max="15885" width="9.3984375" style="130" customWidth="1"/>
    <col min="15886" max="15886" width="10" style="130" customWidth="1"/>
    <col min="15887" max="15887" width="11.8984375" style="130" customWidth="1"/>
    <col min="15888" max="15888" width="11.69921875" style="130" customWidth="1"/>
    <col min="15889" max="16133" width="8.796875" style="130"/>
    <col min="16134" max="16134" width="5.19921875" style="130" customWidth="1"/>
    <col min="16135" max="16135" width="16.19921875" style="130" customWidth="1"/>
    <col min="16136" max="16136" width="12.59765625" style="130" customWidth="1"/>
    <col min="16137" max="16140" width="8.8984375" style="130" customWidth="1"/>
    <col min="16141" max="16141" width="9.3984375" style="130" customWidth="1"/>
    <col min="16142" max="16142" width="10" style="130" customWidth="1"/>
    <col min="16143" max="16143" width="11.8984375" style="130" customWidth="1"/>
    <col min="16144" max="16144" width="11.69921875" style="130" customWidth="1"/>
    <col min="16145" max="16384" width="8.796875" style="130"/>
  </cols>
  <sheetData>
    <row r="1" spans="1:16" s="226" customFormat="1">
      <c r="A1" s="226" t="s">
        <v>570</v>
      </c>
      <c r="C1" s="276"/>
      <c r="H1" s="277"/>
    </row>
    <row r="2" spans="1:16" s="226" customFormat="1">
      <c r="A2" s="278" t="s">
        <v>568</v>
      </c>
      <c r="C2" s="276"/>
      <c r="H2" s="277"/>
    </row>
    <row r="3" spans="1:16" s="122" customFormat="1" ht="16.2">
      <c r="A3" s="105"/>
      <c r="B3" s="104"/>
      <c r="C3" s="220"/>
      <c r="H3" s="232"/>
      <c r="O3" s="134" t="s">
        <v>222</v>
      </c>
      <c r="P3" s="104"/>
    </row>
    <row r="4" spans="1:16" s="175" customFormat="1" ht="46.5" customHeight="1">
      <c r="A4" s="414" t="s">
        <v>252</v>
      </c>
      <c r="B4" s="414"/>
      <c r="C4" s="414"/>
      <c r="D4" s="414"/>
      <c r="E4" s="414"/>
      <c r="F4" s="414"/>
      <c r="G4" s="414"/>
      <c r="H4" s="414"/>
      <c r="I4" s="414"/>
      <c r="J4" s="414"/>
      <c r="K4" s="414"/>
      <c r="L4" s="414"/>
      <c r="M4" s="414"/>
      <c r="N4" s="414"/>
      <c r="O4" s="414"/>
      <c r="P4" s="414"/>
    </row>
    <row r="5" spans="1:16" s="122" customFormat="1" ht="15.6">
      <c r="C5" s="221"/>
      <c r="H5" s="232"/>
      <c r="J5" s="123"/>
      <c r="K5" s="123"/>
      <c r="L5" s="123"/>
      <c r="M5" s="123"/>
      <c r="N5" s="123"/>
      <c r="O5" s="123"/>
      <c r="P5" s="123"/>
    </row>
    <row r="6" spans="1:16" s="124" customFormat="1">
      <c r="A6" s="415" t="s">
        <v>158</v>
      </c>
      <c r="B6" s="415" t="s">
        <v>156</v>
      </c>
      <c r="C6" s="416" t="s">
        <v>199</v>
      </c>
      <c r="D6" s="417" t="s">
        <v>28</v>
      </c>
      <c r="E6" s="417"/>
      <c r="F6" s="417"/>
      <c r="G6" s="417"/>
      <c r="H6" s="417"/>
      <c r="I6" s="417"/>
      <c r="J6" s="417"/>
      <c r="K6" s="417"/>
      <c r="L6" s="417"/>
      <c r="M6" s="417"/>
      <c r="N6" s="417"/>
      <c r="O6" s="417"/>
      <c r="P6" s="415" t="s">
        <v>24</v>
      </c>
    </row>
    <row r="7" spans="1:16" s="124" customFormat="1">
      <c r="A7" s="415"/>
      <c r="B7" s="415"/>
      <c r="C7" s="416"/>
      <c r="D7" s="415" t="s">
        <v>200</v>
      </c>
      <c r="E7" s="415"/>
      <c r="F7" s="415"/>
      <c r="G7" s="415"/>
      <c r="H7" s="415"/>
      <c r="I7" s="415" t="s">
        <v>201</v>
      </c>
      <c r="J7" s="415"/>
      <c r="K7" s="415"/>
      <c r="L7" s="415"/>
      <c r="M7" s="415"/>
      <c r="N7" s="415"/>
      <c r="O7" s="415"/>
      <c r="P7" s="415"/>
    </row>
    <row r="8" spans="1:16" s="124" customFormat="1">
      <c r="A8" s="415"/>
      <c r="B8" s="415"/>
      <c r="C8" s="416"/>
      <c r="D8" s="415" t="s">
        <v>202</v>
      </c>
      <c r="E8" s="417" t="s">
        <v>191</v>
      </c>
      <c r="F8" s="417"/>
      <c r="G8" s="417"/>
      <c r="H8" s="416" t="s">
        <v>203</v>
      </c>
      <c r="I8" s="415" t="s">
        <v>3</v>
      </c>
      <c r="J8" s="415" t="s">
        <v>204</v>
      </c>
      <c r="K8" s="415"/>
      <c r="L8" s="415"/>
      <c r="M8" s="415"/>
      <c r="N8" s="415"/>
      <c r="O8" s="415" t="s">
        <v>205</v>
      </c>
      <c r="P8" s="415"/>
    </row>
    <row r="9" spans="1:16" s="124" customFormat="1" ht="26.4">
      <c r="A9" s="415"/>
      <c r="B9" s="415"/>
      <c r="C9" s="416"/>
      <c r="D9" s="415"/>
      <c r="E9" s="177" t="s">
        <v>206</v>
      </c>
      <c r="F9" s="177" t="s">
        <v>207</v>
      </c>
      <c r="G9" s="177" t="s">
        <v>208</v>
      </c>
      <c r="H9" s="416"/>
      <c r="I9" s="415"/>
      <c r="J9" s="177" t="s">
        <v>7</v>
      </c>
      <c r="K9" s="177" t="s">
        <v>46</v>
      </c>
      <c r="L9" s="177" t="s">
        <v>47</v>
      </c>
      <c r="M9" s="177" t="s">
        <v>209</v>
      </c>
      <c r="N9" s="177" t="s">
        <v>210</v>
      </c>
      <c r="O9" s="415"/>
      <c r="P9" s="415"/>
    </row>
    <row r="10" spans="1:16" s="124" customFormat="1">
      <c r="A10" s="177" t="s">
        <v>51</v>
      </c>
      <c r="B10" s="177" t="s">
        <v>52</v>
      </c>
      <c r="C10" s="222" t="s">
        <v>211</v>
      </c>
      <c r="D10" s="177" t="s">
        <v>195</v>
      </c>
      <c r="E10" s="177">
        <v>3</v>
      </c>
      <c r="F10" s="177">
        <v>4</v>
      </c>
      <c r="G10" s="177">
        <v>5</v>
      </c>
      <c r="H10" s="222">
        <v>6</v>
      </c>
      <c r="I10" s="177" t="s">
        <v>212</v>
      </c>
      <c r="J10" s="125" t="s">
        <v>213</v>
      </c>
      <c r="K10" s="177">
        <v>9</v>
      </c>
      <c r="L10" s="177">
        <v>10</v>
      </c>
      <c r="M10" s="177">
        <v>11</v>
      </c>
      <c r="N10" s="177">
        <v>12</v>
      </c>
      <c r="O10" s="177">
        <v>13</v>
      </c>
      <c r="P10" s="177">
        <v>14</v>
      </c>
    </row>
    <row r="11" spans="1:16" s="127" customFormat="1">
      <c r="A11" s="126"/>
      <c r="B11" s="126" t="s">
        <v>50</v>
      </c>
      <c r="C11" s="234">
        <f>+C12</f>
        <v>44164.554479000013</v>
      </c>
      <c r="D11" s="234">
        <f t="shared" ref="D11:O11" si="0">+D12</f>
        <v>5091.6499999999996</v>
      </c>
      <c r="E11" s="234">
        <f t="shared" si="0"/>
        <v>2485.0129999999999</v>
      </c>
      <c r="F11" s="234">
        <f t="shared" si="0"/>
        <v>1767.896</v>
      </c>
      <c r="G11" s="234">
        <f t="shared" si="0"/>
        <v>838.74299999999994</v>
      </c>
      <c r="H11" s="234">
        <f t="shared" si="0"/>
        <v>5663.1794500000005</v>
      </c>
      <c r="I11" s="234">
        <f t="shared" si="0"/>
        <v>38501.375028999995</v>
      </c>
      <c r="J11" s="234">
        <f t="shared" si="0"/>
        <v>25252.008685299999</v>
      </c>
      <c r="K11" s="234">
        <f t="shared" si="0"/>
        <v>0</v>
      </c>
      <c r="L11" s="234">
        <f t="shared" si="0"/>
        <v>0</v>
      </c>
      <c r="M11" s="234">
        <f t="shared" si="0"/>
        <v>0</v>
      </c>
      <c r="N11" s="234">
        <f t="shared" si="0"/>
        <v>25252.008685299999</v>
      </c>
      <c r="O11" s="234">
        <f t="shared" si="0"/>
        <v>13249.3663437</v>
      </c>
      <c r="P11" s="126"/>
    </row>
    <row r="12" spans="1:16" s="226" customFormat="1">
      <c r="A12" s="224">
        <v>1</v>
      </c>
      <c r="B12" s="225" t="s">
        <v>567</v>
      </c>
      <c r="C12" s="235">
        <f>SUM(C14:C21)</f>
        <v>44164.554479000013</v>
      </c>
      <c r="D12" s="235">
        <f t="shared" ref="D12:O12" si="1">SUM(D14:D21)</f>
        <v>5091.6499999999996</v>
      </c>
      <c r="E12" s="235">
        <f t="shared" si="1"/>
        <v>2485.0129999999999</v>
      </c>
      <c r="F12" s="235">
        <f t="shared" si="1"/>
        <v>1767.896</v>
      </c>
      <c r="G12" s="235">
        <f t="shared" si="1"/>
        <v>838.74299999999994</v>
      </c>
      <c r="H12" s="235">
        <f t="shared" si="1"/>
        <v>5663.1794500000005</v>
      </c>
      <c r="I12" s="235">
        <f t="shared" si="1"/>
        <v>38501.375028999995</v>
      </c>
      <c r="J12" s="235">
        <f>SUM(J14:J21)</f>
        <v>25252.008685299999</v>
      </c>
      <c r="K12" s="235">
        <f t="shared" si="1"/>
        <v>0</v>
      </c>
      <c r="L12" s="235">
        <f t="shared" si="1"/>
        <v>0</v>
      </c>
      <c r="M12" s="235">
        <f t="shared" si="1"/>
        <v>0</v>
      </c>
      <c r="N12" s="235">
        <f t="shared" si="1"/>
        <v>25252.008685299999</v>
      </c>
      <c r="O12" s="235">
        <f t="shared" si="1"/>
        <v>13249.3663437</v>
      </c>
      <c r="P12" s="225"/>
    </row>
    <row r="13" spans="1:16" s="229" customFormat="1">
      <c r="A13" s="227"/>
      <c r="B13" s="228" t="s">
        <v>28</v>
      </c>
      <c r="C13" s="236"/>
      <c r="D13" s="237"/>
      <c r="E13" s="237"/>
      <c r="F13" s="237"/>
      <c r="G13" s="237"/>
      <c r="H13" s="236"/>
      <c r="I13" s="237"/>
      <c r="J13" s="237"/>
      <c r="K13" s="237"/>
      <c r="L13" s="237"/>
      <c r="M13" s="237"/>
      <c r="N13" s="237"/>
      <c r="O13" s="237"/>
      <c r="P13" s="228"/>
    </row>
    <row r="14" spans="1:16" s="127" customFormat="1" ht="27.6" customHeight="1">
      <c r="A14" s="177">
        <v>1</v>
      </c>
      <c r="B14" s="97" t="s">
        <v>45</v>
      </c>
      <c r="C14" s="238">
        <f>2395800000/1000000</f>
        <v>2395.8000000000002</v>
      </c>
      <c r="D14" s="239">
        <v>213</v>
      </c>
      <c r="E14" s="239">
        <v>116.36</v>
      </c>
      <c r="F14" s="239">
        <v>49.13</v>
      </c>
      <c r="G14" s="239">
        <v>47.51</v>
      </c>
      <c r="H14" s="238">
        <f>+'BS 06 XM'!K13/1000</f>
        <v>275.83499999999998</v>
      </c>
      <c r="I14" s="240">
        <f>+C14-H14</f>
        <v>2119.9650000000001</v>
      </c>
      <c r="J14" s="241">
        <f>+K14+L14+M14+N14</f>
        <v>1401.2250000000001</v>
      </c>
      <c r="K14" s="239"/>
      <c r="L14" s="239"/>
      <c r="M14" s="239"/>
      <c r="N14" s="240">
        <v>1401.2250000000001</v>
      </c>
      <c r="O14" s="240">
        <v>718.74</v>
      </c>
      <c r="P14" s="177"/>
    </row>
    <row r="15" spans="1:16" ht="27.6" customHeight="1">
      <c r="A15" s="128">
        <v>2</v>
      </c>
      <c r="B15" s="97" t="s">
        <v>260</v>
      </c>
      <c r="C15" s="242">
        <f>10457595000/1000000</f>
        <v>10457.594999999999</v>
      </c>
      <c r="D15" s="197">
        <v>1100</v>
      </c>
      <c r="E15" s="114">
        <f>562.49+14.08+193.48</f>
        <v>770.05000000000007</v>
      </c>
      <c r="F15" s="114">
        <f>55.28+200.89+5.03</f>
        <v>261.19999999999993</v>
      </c>
      <c r="G15" s="114">
        <f>D15-E15-F15</f>
        <v>68.75</v>
      </c>
      <c r="H15" s="238">
        <f>+'BS 06 XM'!K14/1000</f>
        <v>1210</v>
      </c>
      <c r="I15" s="240">
        <f t="shared" ref="I15:I21" si="2">+C15-H15</f>
        <v>9247.5949999999993</v>
      </c>
      <c r="J15" s="241">
        <f t="shared" ref="J15:J21" si="3">+K15+L15+M15+N15</f>
        <v>6110.316499999999</v>
      </c>
      <c r="K15" s="243"/>
      <c r="L15" s="243"/>
      <c r="M15" s="243"/>
      <c r="N15" s="240">
        <v>6110.316499999999</v>
      </c>
      <c r="O15" s="240">
        <v>3137.2784999999999</v>
      </c>
      <c r="P15" s="129"/>
    </row>
    <row r="16" spans="1:16" ht="27.6" customHeight="1">
      <c r="A16" s="177">
        <v>3</v>
      </c>
      <c r="B16" s="97" t="s">
        <v>261</v>
      </c>
      <c r="C16" s="242">
        <f>1347389000/1000000</f>
        <v>1347.3889999999999</v>
      </c>
      <c r="D16" s="197">
        <v>306</v>
      </c>
      <c r="E16" s="114">
        <f>50.05+27.146+130.395</f>
        <v>207.59100000000001</v>
      </c>
      <c r="F16" s="114">
        <f>17.875+9.695+39.238</f>
        <v>66.807999999999993</v>
      </c>
      <c r="G16" s="114">
        <f t="shared" ref="G16:G19" si="4">D16-E16-F16</f>
        <v>31.600999999999999</v>
      </c>
      <c r="H16" s="238">
        <f>+'BS 06 XM'!K15/1000</f>
        <v>318.24</v>
      </c>
      <c r="I16" s="240">
        <f t="shared" si="2"/>
        <v>1029.1489999999999</v>
      </c>
      <c r="J16" s="241">
        <f t="shared" si="3"/>
        <v>624.93229999999994</v>
      </c>
      <c r="K16" s="243"/>
      <c r="L16" s="243"/>
      <c r="M16" s="243"/>
      <c r="N16" s="240">
        <v>624.93229999999994</v>
      </c>
      <c r="O16" s="240">
        <v>404.21669999999995</v>
      </c>
      <c r="P16" s="129"/>
    </row>
    <row r="17" spans="1:16" ht="27.6" customHeight="1">
      <c r="A17" s="128">
        <v>4</v>
      </c>
      <c r="B17" s="97" t="s">
        <v>262</v>
      </c>
      <c r="C17" s="242">
        <f>9725184000/1000000</f>
        <v>9725.1839999999993</v>
      </c>
      <c r="D17" s="197">
        <v>836</v>
      </c>
      <c r="E17" s="114">
        <f>55.944+412.967+65</f>
        <v>533.91100000000006</v>
      </c>
      <c r="F17" s="114">
        <f>173.402+19.09+19.98</f>
        <v>212.47199999999998</v>
      </c>
      <c r="G17" s="114">
        <f t="shared" si="4"/>
        <v>89.616999999999962</v>
      </c>
      <c r="H17" s="238">
        <f>+'BS 06 XM'!K16/1000</f>
        <v>919.6</v>
      </c>
      <c r="I17" s="240">
        <f t="shared" si="2"/>
        <v>8805.5839999999989</v>
      </c>
      <c r="J17" s="241">
        <f t="shared" si="3"/>
        <v>5888.0287999999991</v>
      </c>
      <c r="K17" s="243"/>
      <c r="L17" s="243"/>
      <c r="M17" s="243"/>
      <c r="N17" s="240">
        <v>5888.0287999999991</v>
      </c>
      <c r="O17" s="240">
        <v>2917.5551999999998</v>
      </c>
      <c r="P17" s="129"/>
    </row>
    <row r="18" spans="1:16" s="127" customFormat="1" ht="27.6" customHeight="1">
      <c r="A18" s="177">
        <v>5</v>
      </c>
      <c r="B18" s="97" t="s">
        <v>263</v>
      </c>
      <c r="C18" s="238">
        <f>7281368000/1000000</f>
        <v>7281.3680000000004</v>
      </c>
      <c r="D18" s="197">
        <v>1061</v>
      </c>
      <c r="E18" s="114">
        <f>191+33.11+78.6</f>
        <v>302.71000000000004</v>
      </c>
      <c r="F18" s="114">
        <f>119+11.825+26.2</f>
        <v>157.02499999999998</v>
      </c>
      <c r="G18" s="114">
        <f t="shared" si="4"/>
        <v>601.26499999999999</v>
      </c>
      <c r="H18" s="238">
        <f>+'BS 06 XM'!K17/1000</f>
        <v>1135.27</v>
      </c>
      <c r="I18" s="240">
        <f t="shared" si="2"/>
        <v>6146.098</v>
      </c>
      <c r="J18" s="241">
        <f t="shared" si="3"/>
        <v>3961.6875999999997</v>
      </c>
      <c r="K18" s="239"/>
      <c r="L18" s="239"/>
      <c r="M18" s="239"/>
      <c r="N18" s="240">
        <v>3961.6875999999997</v>
      </c>
      <c r="O18" s="240">
        <v>2184.4104000000002</v>
      </c>
      <c r="P18" s="177"/>
    </row>
    <row r="19" spans="1:16" ht="27.6" customHeight="1">
      <c r="A19" s="128">
        <v>6</v>
      </c>
      <c r="B19" s="97" t="s">
        <v>264</v>
      </c>
      <c r="C19" s="242">
        <f>6948840000/1000000</f>
        <v>6948.84</v>
      </c>
      <c r="D19" s="197">
        <v>880</v>
      </c>
      <c r="E19" s="114">
        <f>143.69+76.95+43.77</f>
        <v>264.40999999999997</v>
      </c>
      <c r="F19" s="114">
        <v>615.59</v>
      </c>
      <c r="G19" s="114">
        <f t="shared" si="4"/>
        <v>0</v>
      </c>
      <c r="H19" s="238">
        <f>+'BS 06 XM'!K18/1000</f>
        <v>957.44</v>
      </c>
      <c r="I19" s="240">
        <f t="shared" si="2"/>
        <v>5991.4</v>
      </c>
      <c r="J19" s="241">
        <f t="shared" si="3"/>
        <v>3906.7479999999996</v>
      </c>
      <c r="K19" s="243"/>
      <c r="L19" s="243"/>
      <c r="M19" s="243"/>
      <c r="N19" s="240">
        <v>3906.7479999999996</v>
      </c>
      <c r="O19" s="240">
        <v>2084.652</v>
      </c>
      <c r="P19" s="129"/>
    </row>
    <row r="20" spans="1:16" ht="27.6" customHeight="1">
      <c r="A20" s="177">
        <v>7</v>
      </c>
      <c r="B20" s="97" t="s">
        <v>265</v>
      </c>
      <c r="C20" s="242">
        <f>4251063479/1000000</f>
        <v>4251.0634790000004</v>
      </c>
      <c r="D20" s="197">
        <v>513.49800000000005</v>
      </c>
      <c r="E20" s="114">
        <f>108.652+71.527+16.061</f>
        <v>196.24</v>
      </c>
      <c r="F20" s="114">
        <v>317.26</v>
      </c>
      <c r="G20" s="114">
        <v>0</v>
      </c>
      <c r="H20" s="238">
        <f>+'BS 06 XM'!K19/1000</f>
        <v>572.50115000000005</v>
      </c>
      <c r="I20" s="240">
        <f t="shared" si="2"/>
        <v>3678.5623290000003</v>
      </c>
      <c r="J20" s="241">
        <f t="shared" si="3"/>
        <v>2403.2432853</v>
      </c>
      <c r="K20" s="243"/>
      <c r="L20" s="243"/>
      <c r="M20" s="243"/>
      <c r="N20" s="240">
        <v>2403.2432853</v>
      </c>
      <c r="O20" s="240">
        <v>1275.3190437000001</v>
      </c>
      <c r="P20" s="129"/>
    </row>
    <row r="21" spans="1:16" ht="27.6" customHeight="1">
      <c r="A21" s="128">
        <v>8</v>
      </c>
      <c r="B21" s="97" t="s">
        <v>266</v>
      </c>
      <c r="C21" s="242">
        <f>1757315000/1000000</f>
        <v>1757.3150000000001</v>
      </c>
      <c r="D21" s="197">
        <f>+E21+F21</f>
        <v>182.15199999999999</v>
      </c>
      <c r="E21" s="114">
        <f>8.09+85.651</f>
        <v>93.741</v>
      </c>
      <c r="F21" s="114">
        <f>16.18+57.101+15.13</f>
        <v>88.411000000000001</v>
      </c>
      <c r="G21" s="114">
        <v>0</v>
      </c>
      <c r="H21" s="238">
        <f>+'BS 06 XM'!K20/1000</f>
        <v>274.29329999999999</v>
      </c>
      <c r="I21" s="240">
        <f t="shared" si="2"/>
        <v>1483.0217</v>
      </c>
      <c r="J21" s="241">
        <f t="shared" si="3"/>
        <v>955.82720000000006</v>
      </c>
      <c r="K21" s="243"/>
      <c r="L21" s="243"/>
      <c r="M21" s="243"/>
      <c r="N21" s="240">
        <v>955.82720000000006</v>
      </c>
      <c r="O21" s="240">
        <v>527.19449999999995</v>
      </c>
      <c r="P21" s="129"/>
    </row>
    <row r="22" spans="1:16" s="122" customFormat="1" ht="15.6">
      <c r="C22" s="221"/>
      <c r="H22" s="232"/>
    </row>
    <row r="23" spans="1:16" s="122" customFormat="1" ht="15.6">
      <c r="C23" s="221"/>
      <c r="H23" s="232"/>
      <c r="L23" s="413"/>
      <c r="M23" s="413"/>
      <c r="N23" s="413"/>
      <c r="O23" s="413"/>
    </row>
    <row r="24" spans="1:16" s="122" customFormat="1" ht="15.6">
      <c r="C24" s="221"/>
      <c r="H24" s="232"/>
      <c r="L24" s="393"/>
      <c r="M24" s="393"/>
      <c r="N24" s="393"/>
      <c r="O24" s="393"/>
    </row>
    <row r="25" spans="1:16" s="122" customFormat="1" ht="15.6">
      <c r="C25" s="221"/>
      <c r="H25" s="232"/>
      <c r="L25" s="104"/>
      <c r="M25" s="104"/>
      <c r="N25" s="104"/>
      <c r="O25" s="104"/>
    </row>
  </sheetData>
  <mergeCells count="16">
    <mergeCell ref="L23:O23"/>
    <mergeCell ref="L24:O24"/>
    <mergeCell ref="A4:P4"/>
    <mergeCell ref="A6:A9"/>
    <mergeCell ref="B6:B9"/>
    <mergeCell ref="C6:C9"/>
    <mergeCell ref="D6:O6"/>
    <mergeCell ref="P6:P9"/>
    <mergeCell ref="D7:H7"/>
    <mergeCell ref="I7:O7"/>
    <mergeCell ref="D8:D9"/>
    <mergeCell ref="E8:G8"/>
    <mergeCell ref="H8:H9"/>
    <mergeCell ref="I8:I9"/>
    <mergeCell ref="J8:N8"/>
    <mergeCell ref="O8:O9"/>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K15" sqref="K15"/>
    </sheetView>
  </sheetViews>
  <sheetFormatPr defaultRowHeight="15.6"/>
  <cols>
    <col min="1" max="1" width="4.59765625" customWidth="1"/>
    <col min="2" max="2" width="40.296875" customWidth="1"/>
    <col min="3" max="3" width="6.09765625" customWidth="1"/>
    <col min="4" max="4" width="5.796875" bestFit="1" customWidth="1"/>
    <col min="5" max="10" width="6.09765625" customWidth="1"/>
  </cols>
  <sheetData>
    <row r="1" spans="1:10">
      <c r="A1" s="28"/>
    </row>
    <row r="2" spans="1:10" ht="16.2">
      <c r="A2" s="28"/>
      <c r="I2" s="427" t="s">
        <v>223</v>
      </c>
      <c r="J2" s="427"/>
    </row>
    <row r="3" spans="1:10">
      <c r="A3" s="428" t="s">
        <v>220</v>
      </c>
      <c r="B3" s="428"/>
      <c r="C3" s="428"/>
      <c r="D3" s="428"/>
      <c r="E3" s="428"/>
      <c r="F3" s="428"/>
      <c r="G3" s="428"/>
      <c r="H3" s="428"/>
      <c r="I3" s="428"/>
      <c r="J3" s="428"/>
    </row>
    <row r="4" spans="1:10">
      <c r="A4" s="429" t="s">
        <v>169</v>
      </c>
      <c r="B4" s="429"/>
      <c r="C4" s="429"/>
      <c r="D4" s="429"/>
      <c r="E4" s="429"/>
      <c r="F4" s="429"/>
      <c r="G4" s="429"/>
      <c r="H4" s="429"/>
      <c r="I4" s="429"/>
      <c r="J4" s="429"/>
    </row>
    <row r="5" spans="1:10">
      <c r="B5" s="81"/>
      <c r="C5" s="82"/>
      <c r="D5" s="82"/>
      <c r="E5" s="82"/>
      <c r="F5" s="82"/>
      <c r="G5" s="82"/>
      <c r="H5" s="82"/>
      <c r="I5" s="82"/>
      <c r="J5" s="82"/>
    </row>
    <row r="6" spans="1:10">
      <c r="A6" s="420" t="s">
        <v>9</v>
      </c>
      <c r="B6" s="420" t="s">
        <v>68</v>
      </c>
      <c r="C6" s="431" t="s">
        <v>168</v>
      </c>
      <c r="D6" s="431"/>
      <c r="E6" s="431"/>
      <c r="F6" s="431"/>
      <c r="G6" s="419" t="s">
        <v>157</v>
      </c>
      <c r="H6" s="419"/>
      <c r="I6" s="419"/>
      <c r="J6" s="419"/>
    </row>
    <row r="7" spans="1:10" ht="107.4" customHeight="1">
      <c r="A7" s="421"/>
      <c r="B7" s="421"/>
      <c r="C7" s="426" t="s">
        <v>69</v>
      </c>
      <c r="D7" s="426"/>
      <c r="E7" s="426" t="s">
        <v>70</v>
      </c>
      <c r="F7" s="426"/>
      <c r="G7" s="426" t="s">
        <v>69</v>
      </c>
      <c r="H7" s="426"/>
      <c r="I7" s="426" t="s">
        <v>70</v>
      </c>
      <c r="J7" s="426"/>
    </row>
    <row r="8" spans="1:10" ht="110.4">
      <c r="A8" s="422"/>
      <c r="B8" s="422"/>
      <c r="C8" s="62" t="s">
        <v>71</v>
      </c>
      <c r="D8" s="62" t="s">
        <v>72</v>
      </c>
      <c r="E8" s="62" t="s">
        <v>71</v>
      </c>
      <c r="F8" s="62" t="s">
        <v>73</v>
      </c>
      <c r="G8" s="62" t="s">
        <v>71</v>
      </c>
      <c r="H8" s="62" t="s">
        <v>72</v>
      </c>
      <c r="I8" s="62" t="s">
        <v>71</v>
      </c>
      <c r="J8" s="62" t="s">
        <v>73</v>
      </c>
    </row>
    <row r="9" spans="1:10">
      <c r="A9" s="63">
        <v>1</v>
      </c>
      <c r="B9" s="64" t="s">
        <v>74</v>
      </c>
      <c r="C9" s="63" t="s">
        <v>75</v>
      </c>
      <c r="D9" s="424" t="s">
        <v>75</v>
      </c>
      <c r="E9" s="63" t="s">
        <v>75</v>
      </c>
      <c r="F9" s="424" t="s">
        <v>75</v>
      </c>
      <c r="G9" s="61">
        <v>100</v>
      </c>
      <c r="H9" s="61">
        <v>100</v>
      </c>
      <c r="I9" s="61"/>
      <c r="J9" s="61"/>
    </row>
    <row r="10" spans="1:10">
      <c r="A10" s="63">
        <v>2</v>
      </c>
      <c r="B10" s="65" t="s">
        <v>76</v>
      </c>
      <c r="C10" s="63" t="s">
        <v>75</v>
      </c>
      <c r="D10" s="424"/>
      <c r="E10" s="63" t="s">
        <v>75</v>
      </c>
      <c r="F10" s="424"/>
      <c r="G10" s="61"/>
      <c r="H10" s="61"/>
      <c r="I10" s="61"/>
      <c r="J10" s="61"/>
    </row>
    <row r="11" spans="1:10" ht="31.2">
      <c r="A11" s="63">
        <v>3</v>
      </c>
      <c r="B11" s="65" t="s">
        <v>77</v>
      </c>
      <c r="C11" s="63" t="s">
        <v>75</v>
      </c>
      <c r="D11" s="424"/>
      <c r="E11" s="63" t="s">
        <v>75</v>
      </c>
      <c r="F11" s="424"/>
      <c r="G11" s="61"/>
      <c r="H11" s="61"/>
      <c r="I11" s="61"/>
      <c r="J11" s="61"/>
    </row>
    <row r="12" spans="1:10">
      <c r="A12" s="63">
        <v>4</v>
      </c>
      <c r="B12" s="65" t="s">
        <v>78</v>
      </c>
      <c r="C12" s="63" t="s">
        <v>79</v>
      </c>
      <c r="D12" s="424" t="s">
        <v>80</v>
      </c>
      <c r="E12" s="63" t="s">
        <v>81</v>
      </c>
      <c r="F12" s="424" t="s">
        <v>80</v>
      </c>
      <c r="G12" s="61"/>
      <c r="H12" s="61"/>
      <c r="I12" s="61"/>
      <c r="J12" s="61"/>
    </row>
    <row r="13" spans="1:10">
      <c r="A13" s="63">
        <v>5</v>
      </c>
      <c r="B13" s="65" t="s">
        <v>82</v>
      </c>
      <c r="C13" s="63" t="s">
        <v>81</v>
      </c>
      <c r="D13" s="424"/>
      <c r="E13" s="63" t="s">
        <v>83</v>
      </c>
      <c r="F13" s="424"/>
      <c r="G13" s="61"/>
      <c r="H13" s="61"/>
      <c r="I13" s="61"/>
      <c r="J13" s="61"/>
    </row>
    <row r="14" spans="1:10">
      <c r="A14" s="63">
        <v>6</v>
      </c>
      <c r="B14" s="65" t="s">
        <v>84</v>
      </c>
      <c r="C14" s="63" t="s">
        <v>81</v>
      </c>
      <c r="D14" s="424"/>
      <c r="E14" s="63" t="s">
        <v>83</v>
      </c>
      <c r="F14" s="424"/>
      <c r="G14" s="61"/>
      <c r="H14" s="61"/>
      <c r="I14" s="61"/>
      <c r="J14" s="61"/>
    </row>
    <row r="15" spans="1:10">
      <c r="A15" s="63">
        <v>7</v>
      </c>
      <c r="B15" s="65" t="s">
        <v>85</v>
      </c>
      <c r="C15" s="63" t="s">
        <v>86</v>
      </c>
      <c r="D15" s="424"/>
      <c r="E15" s="63" t="s">
        <v>83</v>
      </c>
      <c r="F15" s="424"/>
      <c r="G15" s="61"/>
      <c r="H15" s="61"/>
      <c r="I15" s="61"/>
      <c r="J15" s="61"/>
    </row>
    <row r="16" spans="1:10">
      <c r="A16" s="63">
        <v>8</v>
      </c>
      <c r="B16" s="66" t="s">
        <v>87</v>
      </c>
      <c r="C16" s="63" t="s">
        <v>86</v>
      </c>
      <c r="D16" s="424"/>
      <c r="E16" s="63" t="s">
        <v>83</v>
      </c>
      <c r="F16" s="424"/>
      <c r="G16" s="61"/>
      <c r="H16" s="61"/>
      <c r="I16" s="61"/>
      <c r="J16" s="61"/>
    </row>
    <row r="17" spans="1:10">
      <c r="A17" s="63">
        <v>9</v>
      </c>
      <c r="B17" s="425" t="s">
        <v>88</v>
      </c>
      <c r="C17" s="425"/>
      <c r="D17" s="424" t="s">
        <v>81</v>
      </c>
      <c r="E17" s="65"/>
      <c r="F17" s="424" t="s">
        <v>83</v>
      </c>
      <c r="G17" s="61"/>
      <c r="H17" s="61"/>
      <c r="I17" s="61"/>
      <c r="J17" s="61"/>
    </row>
    <row r="18" spans="1:10">
      <c r="A18" s="63" t="s">
        <v>11</v>
      </c>
      <c r="B18" s="65" t="s">
        <v>89</v>
      </c>
      <c r="C18" s="63" t="s">
        <v>79</v>
      </c>
      <c r="D18" s="424"/>
      <c r="E18" s="63" t="s">
        <v>81</v>
      </c>
      <c r="F18" s="424"/>
      <c r="G18" s="61"/>
      <c r="H18" s="61"/>
      <c r="I18" s="61"/>
      <c r="J18" s="61"/>
    </row>
    <row r="19" spans="1:10">
      <c r="A19" s="63" t="s">
        <v>11</v>
      </c>
      <c r="B19" s="65" t="s">
        <v>90</v>
      </c>
      <c r="C19" s="63" t="s">
        <v>91</v>
      </c>
      <c r="D19" s="424"/>
      <c r="E19" s="63" t="s">
        <v>92</v>
      </c>
      <c r="F19" s="424"/>
      <c r="G19" s="61"/>
      <c r="H19" s="61"/>
      <c r="I19" s="61"/>
      <c r="J19" s="61"/>
    </row>
    <row r="20" spans="1:10">
      <c r="A20" s="63" t="s">
        <v>11</v>
      </c>
      <c r="B20" s="65" t="s">
        <v>93</v>
      </c>
      <c r="C20" s="63" t="s">
        <v>92</v>
      </c>
      <c r="D20" s="424"/>
      <c r="E20" s="63" t="s">
        <v>79</v>
      </c>
      <c r="F20" s="424"/>
      <c r="G20" s="61"/>
      <c r="H20" s="61"/>
      <c r="I20" s="61"/>
      <c r="J20" s="61"/>
    </row>
    <row r="21" spans="1:10">
      <c r="A21" s="63" t="s">
        <v>11</v>
      </c>
      <c r="B21" s="65" t="s">
        <v>94</v>
      </c>
      <c r="C21" s="63" t="s">
        <v>95</v>
      </c>
      <c r="D21" s="424"/>
      <c r="E21" s="63" t="s">
        <v>92</v>
      </c>
      <c r="F21" s="424"/>
      <c r="G21" s="61"/>
      <c r="H21" s="61"/>
      <c r="I21" s="61"/>
      <c r="J21" s="61"/>
    </row>
    <row r="22" spans="1:10" ht="31.2">
      <c r="A22" s="63" t="s">
        <v>11</v>
      </c>
      <c r="B22" s="65" t="s">
        <v>96</v>
      </c>
      <c r="C22" s="63" t="s">
        <v>91</v>
      </c>
      <c r="D22" s="424"/>
      <c r="E22" s="63" t="s">
        <v>95</v>
      </c>
      <c r="F22" s="424"/>
      <c r="G22" s="61"/>
      <c r="H22" s="61"/>
      <c r="I22" s="61"/>
      <c r="J22" s="61"/>
    </row>
    <row r="23" spans="1:10" ht="31.2">
      <c r="A23" s="63" t="s">
        <v>11</v>
      </c>
      <c r="B23" s="65" t="s">
        <v>97</v>
      </c>
      <c r="C23" s="63" t="s">
        <v>95</v>
      </c>
      <c r="D23" s="424"/>
      <c r="E23" s="63" t="s">
        <v>92</v>
      </c>
      <c r="F23" s="424"/>
      <c r="G23" s="61"/>
      <c r="H23" s="61"/>
      <c r="I23" s="61"/>
      <c r="J23" s="61"/>
    </row>
    <row r="24" spans="1:10">
      <c r="A24" s="63" t="s">
        <v>11</v>
      </c>
      <c r="B24" s="65" t="s">
        <v>98</v>
      </c>
      <c r="C24" s="63" t="s">
        <v>91</v>
      </c>
      <c r="D24" s="424"/>
      <c r="E24" s="63" t="s">
        <v>92</v>
      </c>
      <c r="F24" s="424"/>
      <c r="G24" s="61"/>
      <c r="H24" s="61"/>
      <c r="I24" s="61"/>
      <c r="J24" s="61"/>
    </row>
    <row r="25" spans="1:10">
      <c r="A25" s="63">
        <v>10</v>
      </c>
      <c r="B25" s="425" t="s">
        <v>99</v>
      </c>
      <c r="C25" s="425"/>
      <c r="D25" s="424" t="s">
        <v>79</v>
      </c>
      <c r="E25" s="65"/>
      <c r="F25" s="424" t="s">
        <v>83</v>
      </c>
      <c r="G25" s="61"/>
      <c r="H25" s="61"/>
      <c r="I25" s="61"/>
      <c r="J25" s="61"/>
    </row>
    <row r="26" spans="1:10">
      <c r="A26" s="63" t="s">
        <v>11</v>
      </c>
      <c r="B26" s="65" t="s">
        <v>100</v>
      </c>
      <c r="C26" s="63" t="s">
        <v>92</v>
      </c>
      <c r="D26" s="424"/>
      <c r="E26" s="63" t="s">
        <v>79</v>
      </c>
      <c r="F26" s="424"/>
      <c r="G26" s="61"/>
      <c r="H26" s="61"/>
      <c r="I26" s="61"/>
      <c r="J26" s="61"/>
    </row>
    <row r="27" spans="1:10">
      <c r="A27" s="63" t="s">
        <v>11</v>
      </c>
      <c r="B27" s="65" t="s">
        <v>101</v>
      </c>
      <c r="C27" s="63" t="s">
        <v>95</v>
      </c>
      <c r="D27" s="424"/>
      <c r="E27" s="63" t="s">
        <v>92</v>
      </c>
      <c r="F27" s="424"/>
      <c r="G27" s="61"/>
      <c r="H27" s="61"/>
      <c r="I27" s="61"/>
      <c r="J27" s="61"/>
    </row>
    <row r="28" spans="1:10">
      <c r="A28" s="63">
        <v>11</v>
      </c>
      <c r="B28" s="65" t="s">
        <v>102</v>
      </c>
      <c r="C28" s="63" t="s">
        <v>95</v>
      </c>
      <c r="D28" s="424" t="s">
        <v>79</v>
      </c>
      <c r="E28" s="63" t="s">
        <v>81</v>
      </c>
      <c r="F28" s="424" t="s">
        <v>81</v>
      </c>
      <c r="G28" s="61"/>
      <c r="H28" s="61"/>
      <c r="I28" s="61"/>
      <c r="J28" s="61"/>
    </row>
    <row r="29" spans="1:10">
      <c r="A29" s="63">
        <v>12</v>
      </c>
      <c r="B29" s="65" t="s">
        <v>103</v>
      </c>
      <c r="C29" s="63" t="s">
        <v>95</v>
      </c>
      <c r="D29" s="424"/>
      <c r="E29" s="63" t="s">
        <v>79</v>
      </c>
      <c r="F29" s="424"/>
      <c r="G29" s="61"/>
      <c r="H29" s="61"/>
      <c r="I29" s="61"/>
      <c r="J29" s="61"/>
    </row>
    <row r="30" spans="1:10" ht="31.2">
      <c r="A30" s="63">
        <v>13</v>
      </c>
      <c r="B30" s="66" t="s">
        <v>104</v>
      </c>
      <c r="C30" s="63" t="s">
        <v>95</v>
      </c>
      <c r="D30" s="424"/>
      <c r="E30" s="63" t="s">
        <v>79</v>
      </c>
      <c r="F30" s="424"/>
      <c r="G30" s="61"/>
      <c r="H30" s="61"/>
      <c r="I30" s="61"/>
      <c r="J30" s="61"/>
    </row>
    <row r="31" spans="1:10">
      <c r="A31" s="63">
        <v>14</v>
      </c>
      <c r="B31" s="65" t="s">
        <v>105</v>
      </c>
      <c r="C31" s="63" t="s">
        <v>106</v>
      </c>
      <c r="D31" s="424"/>
      <c r="E31" s="63" t="s">
        <v>79</v>
      </c>
      <c r="F31" s="424"/>
      <c r="G31" s="61"/>
      <c r="H31" s="61"/>
      <c r="I31" s="61"/>
      <c r="J31" s="61"/>
    </row>
    <row r="32" spans="1:10">
      <c r="A32" s="63">
        <v>15</v>
      </c>
      <c r="B32" s="65" t="s">
        <v>107</v>
      </c>
      <c r="C32" s="63" t="s">
        <v>106</v>
      </c>
      <c r="D32" s="424"/>
      <c r="E32" s="63" t="s">
        <v>79</v>
      </c>
      <c r="F32" s="424"/>
      <c r="G32" s="61"/>
      <c r="H32" s="61"/>
      <c r="I32" s="61"/>
      <c r="J32" s="61"/>
    </row>
    <row r="33" spans="1:10">
      <c r="A33" s="63">
        <v>16</v>
      </c>
      <c r="B33" s="65" t="s">
        <v>108</v>
      </c>
      <c r="C33" s="63" t="s">
        <v>109</v>
      </c>
      <c r="D33" s="424" t="s">
        <v>92</v>
      </c>
      <c r="E33" s="63" t="s">
        <v>95</v>
      </c>
      <c r="F33" s="424" t="s">
        <v>110</v>
      </c>
      <c r="G33" s="61"/>
      <c r="H33" s="61"/>
      <c r="I33" s="61"/>
      <c r="J33" s="61"/>
    </row>
    <row r="34" spans="1:10">
      <c r="A34" s="63">
        <v>17</v>
      </c>
      <c r="B34" s="65" t="s">
        <v>111</v>
      </c>
      <c r="C34" s="63" t="s">
        <v>112</v>
      </c>
      <c r="D34" s="424"/>
      <c r="E34" s="63" t="s">
        <v>92</v>
      </c>
      <c r="F34" s="424"/>
      <c r="G34" s="61"/>
      <c r="H34" s="61"/>
      <c r="I34" s="61"/>
      <c r="J34" s="61"/>
    </row>
    <row r="35" spans="1:10" ht="31.2">
      <c r="A35" s="63">
        <v>18</v>
      </c>
      <c r="B35" s="65" t="s">
        <v>113</v>
      </c>
      <c r="C35" s="63" t="s">
        <v>109</v>
      </c>
      <c r="D35" s="424"/>
      <c r="E35" s="63" t="s">
        <v>95</v>
      </c>
      <c r="F35" s="424"/>
      <c r="G35" s="61"/>
      <c r="H35" s="61"/>
      <c r="I35" s="61"/>
      <c r="J35" s="61"/>
    </row>
    <row r="36" spans="1:10" ht="31.2">
      <c r="A36" s="63">
        <v>19</v>
      </c>
      <c r="B36" s="66" t="s">
        <v>114</v>
      </c>
      <c r="C36" s="63" t="s">
        <v>109</v>
      </c>
      <c r="D36" s="424"/>
      <c r="E36" s="63" t="s">
        <v>95</v>
      </c>
      <c r="F36" s="424"/>
      <c r="G36" s="61"/>
      <c r="H36" s="61"/>
      <c r="I36" s="61"/>
      <c r="J36" s="61"/>
    </row>
    <row r="37" spans="1:10">
      <c r="A37" s="63">
        <v>20</v>
      </c>
      <c r="B37" s="425" t="s">
        <v>115</v>
      </c>
      <c r="C37" s="425"/>
      <c r="D37" s="424"/>
      <c r="E37" s="63"/>
      <c r="F37" s="424"/>
      <c r="G37" s="61"/>
      <c r="H37" s="61"/>
      <c r="I37" s="61"/>
      <c r="J37" s="61"/>
    </row>
    <row r="38" spans="1:10">
      <c r="A38" s="63" t="s">
        <v>11</v>
      </c>
      <c r="B38" s="65" t="s">
        <v>116</v>
      </c>
      <c r="C38" s="63" t="s">
        <v>117</v>
      </c>
      <c r="D38" s="424"/>
      <c r="E38" s="63" t="s">
        <v>91</v>
      </c>
      <c r="F38" s="424"/>
      <c r="G38" s="61"/>
      <c r="H38" s="61"/>
      <c r="I38" s="61"/>
      <c r="J38" s="61"/>
    </row>
    <row r="39" spans="1:10">
      <c r="A39" s="63" t="s">
        <v>11</v>
      </c>
      <c r="B39" s="65" t="s">
        <v>118</v>
      </c>
      <c r="C39" s="63" t="s">
        <v>91</v>
      </c>
      <c r="D39" s="424"/>
      <c r="E39" s="63" t="s">
        <v>95</v>
      </c>
      <c r="F39" s="424"/>
      <c r="G39" s="61"/>
      <c r="H39" s="61"/>
      <c r="I39" s="61"/>
      <c r="J39" s="61"/>
    </row>
    <row r="40" spans="1:10">
      <c r="A40" s="63">
        <v>21</v>
      </c>
      <c r="B40" s="65" t="s">
        <v>119</v>
      </c>
      <c r="C40" s="63" t="s">
        <v>91</v>
      </c>
      <c r="D40" s="424"/>
      <c r="E40" s="63" t="s">
        <v>95</v>
      </c>
      <c r="F40" s="424"/>
      <c r="G40" s="61"/>
      <c r="H40" s="61"/>
      <c r="I40" s="61"/>
      <c r="J40" s="61"/>
    </row>
    <row r="41" spans="1:10">
      <c r="A41" s="63">
        <v>22</v>
      </c>
      <c r="B41" s="425" t="s">
        <v>120</v>
      </c>
      <c r="C41" s="425"/>
      <c r="D41" s="425"/>
      <c r="E41" s="425"/>
      <c r="F41" s="425"/>
      <c r="G41" s="61"/>
      <c r="H41" s="61"/>
      <c r="I41" s="61"/>
      <c r="J41" s="61"/>
    </row>
    <row r="42" spans="1:10">
      <c r="A42" s="63" t="s">
        <v>11</v>
      </c>
      <c r="B42" s="65" t="s">
        <v>121</v>
      </c>
      <c r="C42" s="423" t="s">
        <v>122</v>
      </c>
      <c r="D42" s="423"/>
      <c r="E42" s="423"/>
      <c r="F42" s="423"/>
      <c r="G42" s="61"/>
      <c r="H42" s="61"/>
      <c r="I42" s="61"/>
      <c r="J42" s="61"/>
    </row>
    <row r="43" spans="1:10">
      <c r="A43" s="63" t="s">
        <v>11</v>
      </c>
      <c r="B43" s="425" t="s">
        <v>123</v>
      </c>
      <c r="C43" s="425"/>
      <c r="D43" s="424" t="s">
        <v>92</v>
      </c>
      <c r="E43" s="65"/>
      <c r="F43" s="424" t="s">
        <v>79</v>
      </c>
      <c r="G43" s="61"/>
      <c r="H43" s="61"/>
      <c r="I43" s="61"/>
      <c r="J43" s="61"/>
    </row>
    <row r="44" spans="1:10">
      <c r="A44" s="63" t="s">
        <v>124</v>
      </c>
      <c r="B44" s="65" t="s">
        <v>125</v>
      </c>
      <c r="C44" s="63" t="s">
        <v>95</v>
      </c>
      <c r="D44" s="424"/>
      <c r="E44" s="63" t="s">
        <v>92</v>
      </c>
      <c r="F44" s="424"/>
      <c r="G44" s="61"/>
      <c r="H44" s="61"/>
      <c r="I44" s="61"/>
      <c r="J44" s="61"/>
    </row>
    <row r="45" spans="1:10">
      <c r="A45" s="63" t="s">
        <v>124</v>
      </c>
      <c r="B45" s="65" t="s">
        <v>126</v>
      </c>
      <c r="C45" s="63" t="s">
        <v>109</v>
      </c>
      <c r="D45" s="424"/>
      <c r="E45" s="63" t="s">
        <v>91</v>
      </c>
      <c r="F45" s="424"/>
      <c r="G45" s="61"/>
      <c r="H45" s="61"/>
      <c r="I45" s="61"/>
      <c r="J45" s="61"/>
    </row>
    <row r="46" spans="1:10" ht="31.2">
      <c r="A46" s="63">
        <v>23</v>
      </c>
      <c r="B46" s="66" t="s">
        <v>127</v>
      </c>
      <c r="C46" s="63" t="s">
        <v>109</v>
      </c>
      <c r="D46" s="424" t="s">
        <v>92</v>
      </c>
      <c r="E46" s="63" t="s">
        <v>95</v>
      </c>
      <c r="F46" s="424" t="s">
        <v>79</v>
      </c>
      <c r="G46" s="61"/>
      <c r="H46" s="61"/>
      <c r="I46" s="61"/>
      <c r="J46" s="61"/>
    </row>
    <row r="47" spans="1:10" ht="93.6">
      <c r="A47" s="63">
        <v>24</v>
      </c>
      <c r="B47" s="66" t="s">
        <v>128</v>
      </c>
      <c r="C47" s="63" t="s">
        <v>109</v>
      </c>
      <c r="D47" s="424"/>
      <c r="E47" s="63" t="s">
        <v>91</v>
      </c>
      <c r="F47" s="424"/>
      <c r="G47" s="61"/>
      <c r="H47" s="61"/>
      <c r="I47" s="61"/>
      <c r="J47" s="61"/>
    </row>
    <row r="48" spans="1:10" ht="62.4">
      <c r="A48" s="63">
        <v>25</v>
      </c>
      <c r="B48" s="66" t="s">
        <v>129</v>
      </c>
      <c r="C48" s="63" t="s">
        <v>117</v>
      </c>
      <c r="D48" s="424"/>
      <c r="E48" s="63" t="s">
        <v>91</v>
      </c>
      <c r="F48" s="424"/>
      <c r="G48" s="61"/>
      <c r="H48" s="61"/>
      <c r="I48" s="61"/>
      <c r="J48" s="61"/>
    </row>
    <row r="49" spans="1:10">
      <c r="A49" s="63">
        <v>26</v>
      </c>
      <c r="B49" s="65" t="s">
        <v>130</v>
      </c>
      <c r="C49" s="63" t="s">
        <v>109</v>
      </c>
      <c r="D49" s="63" t="s">
        <v>95</v>
      </c>
      <c r="E49" s="63" t="s">
        <v>95</v>
      </c>
      <c r="F49" s="63" t="s">
        <v>92</v>
      </c>
      <c r="G49" s="61"/>
      <c r="H49" s="61"/>
      <c r="I49" s="61"/>
      <c r="J49" s="61"/>
    </row>
    <row r="50" spans="1:10">
      <c r="A50" s="63">
        <v>27</v>
      </c>
      <c r="B50" s="423" t="s">
        <v>131</v>
      </c>
      <c r="C50" s="423"/>
      <c r="D50" s="424" t="s">
        <v>95</v>
      </c>
      <c r="E50" s="65"/>
      <c r="F50" s="424" t="s">
        <v>92</v>
      </c>
      <c r="G50" s="61"/>
      <c r="H50" s="61"/>
      <c r="I50" s="61"/>
      <c r="J50" s="61"/>
    </row>
    <row r="51" spans="1:10">
      <c r="A51" s="63" t="s">
        <v>11</v>
      </c>
      <c r="B51" s="65" t="s">
        <v>132</v>
      </c>
      <c r="C51" s="63" t="s">
        <v>91</v>
      </c>
      <c r="D51" s="424"/>
      <c r="E51" s="63" t="s">
        <v>92</v>
      </c>
      <c r="F51" s="424"/>
      <c r="G51" s="61"/>
      <c r="H51" s="61"/>
      <c r="I51" s="61"/>
      <c r="J51" s="61"/>
    </row>
    <row r="52" spans="1:10">
      <c r="A52" s="63" t="s">
        <v>11</v>
      </c>
      <c r="B52" s="65" t="s">
        <v>133</v>
      </c>
      <c r="C52" s="63" t="s">
        <v>91</v>
      </c>
      <c r="D52" s="424"/>
      <c r="E52" s="63" t="s">
        <v>92</v>
      </c>
      <c r="F52" s="424"/>
      <c r="G52" s="61"/>
      <c r="H52" s="61"/>
      <c r="I52" s="61"/>
      <c r="J52" s="61"/>
    </row>
    <row r="53" spans="1:10">
      <c r="A53" s="63" t="s">
        <v>11</v>
      </c>
      <c r="B53" s="65" t="s">
        <v>134</v>
      </c>
      <c r="C53" s="63" t="s">
        <v>91</v>
      </c>
      <c r="D53" s="424"/>
      <c r="E53" s="63" t="s">
        <v>95</v>
      </c>
      <c r="F53" s="424"/>
      <c r="G53" s="61"/>
      <c r="H53" s="61"/>
      <c r="I53" s="61"/>
      <c r="J53" s="61"/>
    </row>
    <row r="54" spans="1:10" ht="62.4">
      <c r="A54" s="63" t="s">
        <v>11</v>
      </c>
      <c r="B54" s="66" t="s">
        <v>135</v>
      </c>
      <c r="C54" s="63" t="s">
        <v>109</v>
      </c>
      <c r="D54" s="424"/>
      <c r="E54" s="63" t="s">
        <v>91</v>
      </c>
      <c r="F54" s="424"/>
      <c r="G54" s="61"/>
      <c r="H54" s="61"/>
      <c r="I54" s="61"/>
      <c r="J54" s="61"/>
    </row>
    <row r="55" spans="1:10" ht="46.8">
      <c r="A55" s="63">
        <v>28</v>
      </c>
      <c r="B55" s="66" t="s">
        <v>136</v>
      </c>
      <c r="C55" s="63" t="s">
        <v>117</v>
      </c>
      <c r="D55" s="63" t="s">
        <v>91</v>
      </c>
      <c r="E55" s="63" t="s">
        <v>109</v>
      </c>
      <c r="F55" s="63" t="s">
        <v>95</v>
      </c>
      <c r="G55" s="61"/>
      <c r="H55" s="61"/>
      <c r="I55" s="61"/>
      <c r="J55" s="61"/>
    </row>
    <row r="56" spans="1:10" ht="31.2">
      <c r="A56" s="67">
        <v>29</v>
      </c>
      <c r="B56" s="66" t="s">
        <v>137</v>
      </c>
      <c r="C56" s="430" t="s">
        <v>138</v>
      </c>
      <c r="D56" s="430"/>
      <c r="E56" s="430"/>
      <c r="F56" s="430"/>
      <c r="G56" s="61"/>
      <c r="H56" s="61"/>
      <c r="I56" s="61"/>
      <c r="J56" s="61"/>
    </row>
    <row r="57" spans="1:10" ht="18">
      <c r="A57" s="60"/>
    </row>
    <row r="58" spans="1:10">
      <c r="B58" s="418"/>
      <c r="C58" s="418"/>
      <c r="D58" s="418"/>
      <c r="E58" s="418"/>
      <c r="F58" s="418"/>
      <c r="G58" s="418"/>
      <c r="H58" s="418"/>
      <c r="I58" s="418"/>
      <c r="J58" s="418"/>
    </row>
  </sheetData>
  <mergeCells count="38">
    <mergeCell ref="I2:J2"/>
    <mergeCell ref="A3:J3"/>
    <mergeCell ref="A4:J4"/>
    <mergeCell ref="C56:F56"/>
    <mergeCell ref="C6:F6"/>
    <mergeCell ref="G7:H7"/>
    <mergeCell ref="C42:F42"/>
    <mergeCell ref="B43:C43"/>
    <mergeCell ref="D43:D45"/>
    <mergeCell ref="F43:F45"/>
    <mergeCell ref="D46:D48"/>
    <mergeCell ref="F46:F48"/>
    <mergeCell ref="D28:D32"/>
    <mergeCell ref="F28:F32"/>
    <mergeCell ref="D33:D40"/>
    <mergeCell ref="F33:F40"/>
    <mergeCell ref="B37:C37"/>
    <mergeCell ref="B41:F41"/>
    <mergeCell ref="D12:D16"/>
    <mergeCell ref="I7:J7"/>
    <mergeCell ref="D9:D11"/>
    <mergeCell ref="F9:F11"/>
    <mergeCell ref="B58:J58"/>
    <mergeCell ref="G6:J6"/>
    <mergeCell ref="A6:A8"/>
    <mergeCell ref="B6:B8"/>
    <mergeCell ref="B50:C50"/>
    <mergeCell ref="D50:D54"/>
    <mergeCell ref="F50:F54"/>
    <mergeCell ref="F12:F16"/>
    <mergeCell ref="B17:C17"/>
    <mergeCell ref="D17:D24"/>
    <mergeCell ref="F17:F24"/>
    <mergeCell ref="B25:C25"/>
    <mergeCell ref="D25:D27"/>
    <mergeCell ref="F25:F27"/>
    <mergeCell ref="C7:D7"/>
    <mergeCell ref="E7:F7"/>
  </mergeCells>
  <printOptions horizontalCentered="1"/>
  <pageMargins left="0" right="0" top="0.39370078740157483" bottom="0"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4"/>
  <sheetViews>
    <sheetView workbookViewId="0">
      <selection activeCell="B7" sqref="B7:B10"/>
    </sheetView>
  </sheetViews>
  <sheetFormatPr defaultColWidth="8" defaultRowHeight="15.6"/>
  <cols>
    <col min="1" max="1" width="3.59765625" style="75" customWidth="1"/>
    <col min="2" max="2" width="19.8984375" style="68" customWidth="1"/>
    <col min="3" max="5" width="9.8984375" style="68" customWidth="1"/>
    <col min="6" max="6" width="12.8984375" style="68" customWidth="1"/>
    <col min="7" max="7" width="5.3984375" style="68" customWidth="1"/>
    <col min="8" max="15" width="5" style="68" customWidth="1"/>
    <col min="16" max="16" width="24" style="68" customWidth="1"/>
    <col min="17" max="16384" width="8" style="68"/>
  </cols>
  <sheetData>
    <row r="1" spans="1:17">
      <c r="A1" s="279" t="s">
        <v>570</v>
      </c>
    </row>
    <row r="2" spans="1:17">
      <c r="A2" s="280" t="s">
        <v>568</v>
      </c>
    </row>
    <row r="3" spans="1:17" ht="16.2">
      <c r="B3" s="77"/>
      <c r="C3" s="77"/>
      <c r="D3" s="77"/>
      <c r="E3" s="77"/>
      <c r="F3" s="77"/>
      <c r="G3" s="77"/>
      <c r="H3" s="77"/>
      <c r="I3" s="77"/>
      <c r="J3" s="77"/>
      <c r="K3" s="77"/>
      <c r="L3" s="77"/>
      <c r="M3" s="77"/>
      <c r="N3" s="77"/>
      <c r="O3" s="77"/>
      <c r="P3" s="427" t="s">
        <v>227</v>
      </c>
      <c r="Q3" s="427"/>
    </row>
    <row r="5" spans="1:17" ht="16.8">
      <c r="A5" s="442" t="s">
        <v>253</v>
      </c>
      <c r="B5" s="442"/>
      <c r="C5" s="442"/>
      <c r="D5" s="442"/>
      <c r="E5" s="442"/>
      <c r="F5" s="442"/>
      <c r="G5" s="442"/>
      <c r="H5" s="442"/>
      <c r="I5" s="442"/>
      <c r="J5" s="442"/>
      <c r="K5" s="442"/>
      <c r="L5" s="442"/>
      <c r="M5" s="442"/>
      <c r="N5" s="442"/>
      <c r="O5" s="442"/>
      <c r="P5" s="442"/>
      <c r="Q5" s="442"/>
    </row>
    <row r="6" spans="1:17" ht="18">
      <c r="A6" s="443"/>
      <c r="B6" s="443"/>
      <c r="C6" s="443"/>
      <c r="D6" s="443"/>
      <c r="E6" s="443"/>
      <c r="F6" s="443"/>
      <c r="G6" s="443"/>
      <c r="H6" s="443"/>
      <c r="I6" s="443"/>
      <c r="J6" s="443"/>
      <c r="K6" s="443"/>
      <c r="L6" s="443"/>
      <c r="M6" s="443"/>
      <c r="N6" s="443"/>
      <c r="O6" s="443"/>
      <c r="P6" s="443"/>
    </row>
    <row r="7" spans="1:17" ht="39" customHeight="1">
      <c r="A7" s="432" t="s">
        <v>9</v>
      </c>
      <c r="B7" s="432" t="s">
        <v>174</v>
      </c>
      <c r="C7" s="446" t="s">
        <v>173</v>
      </c>
      <c r="D7" s="447"/>
      <c r="E7" s="448"/>
      <c r="F7" s="435" t="s">
        <v>175</v>
      </c>
      <c r="G7" s="439" t="s">
        <v>257</v>
      </c>
      <c r="H7" s="440"/>
      <c r="I7" s="440"/>
      <c r="J7" s="440"/>
      <c r="K7" s="440"/>
      <c r="L7" s="440"/>
      <c r="M7" s="440"/>
      <c r="N7" s="440"/>
      <c r="O7" s="441"/>
      <c r="P7" s="435" t="s">
        <v>245</v>
      </c>
      <c r="Q7" s="432" t="s">
        <v>24</v>
      </c>
    </row>
    <row r="8" spans="1:17" ht="30" customHeight="1">
      <c r="A8" s="433"/>
      <c r="B8" s="433"/>
      <c r="C8" s="449" t="s">
        <v>170</v>
      </c>
      <c r="D8" s="447" t="s">
        <v>28</v>
      </c>
      <c r="E8" s="448"/>
      <c r="F8" s="436"/>
      <c r="G8" s="436" t="s">
        <v>7</v>
      </c>
      <c r="H8" s="438" t="s">
        <v>53</v>
      </c>
      <c r="I8" s="438" t="s">
        <v>268</v>
      </c>
      <c r="J8" s="438" t="s">
        <v>269</v>
      </c>
      <c r="K8" s="438" t="s">
        <v>270</v>
      </c>
      <c r="L8" s="438" t="s">
        <v>267</v>
      </c>
      <c r="M8" s="438" t="s">
        <v>271</v>
      </c>
      <c r="N8" s="438" t="s">
        <v>272</v>
      </c>
      <c r="O8" s="438" t="s">
        <v>273</v>
      </c>
      <c r="P8" s="436"/>
      <c r="Q8" s="433"/>
    </row>
    <row r="9" spans="1:17" ht="51" customHeight="1">
      <c r="A9" s="433"/>
      <c r="B9" s="433"/>
      <c r="C9" s="449"/>
      <c r="D9" s="444" t="s">
        <v>171</v>
      </c>
      <c r="E9" s="435" t="s">
        <v>172</v>
      </c>
      <c r="F9" s="436"/>
      <c r="G9" s="436"/>
      <c r="H9" s="424"/>
      <c r="I9" s="424"/>
      <c r="J9" s="424"/>
      <c r="K9" s="424"/>
      <c r="L9" s="424"/>
      <c r="M9" s="424"/>
      <c r="N9" s="424"/>
      <c r="O9" s="424"/>
      <c r="P9" s="436"/>
      <c r="Q9" s="433"/>
    </row>
    <row r="10" spans="1:17" ht="30.75" customHeight="1">
      <c r="A10" s="434"/>
      <c r="B10" s="434"/>
      <c r="C10" s="449"/>
      <c r="D10" s="445"/>
      <c r="E10" s="437"/>
      <c r="F10" s="437"/>
      <c r="G10" s="437"/>
      <c r="H10" s="424"/>
      <c r="I10" s="424"/>
      <c r="J10" s="424"/>
      <c r="K10" s="424"/>
      <c r="L10" s="424"/>
      <c r="M10" s="424"/>
      <c r="N10" s="424"/>
      <c r="O10" s="424"/>
      <c r="P10" s="437"/>
      <c r="Q10" s="434"/>
    </row>
    <row r="11" spans="1:17" s="69" customFormat="1">
      <c r="A11" s="67" t="s">
        <v>51</v>
      </c>
      <c r="B11" s="67" t="s">
        <v>52</v>
      </c>
      <c r="C11" s="67">
        <v>1</v>
      </c>
      <c r="D11" s="71">
        <v>2</v>
      </c>
      <c r="E11" s="78">
        <v>3</v>
      </c>
      <c r="F11" s="71">
        <v>4</v>
      </c>
      <c r="G11" s="86">
        <v>5</v>
      </c>
      <c r="H11" s="71">
        <v>6</v>
      </c>
      <c r="I11" s="86">
        <v>7</v>
      </c>
      <c r="J11" s="86">
        <v>8</v>
      </c>
      <c r="K11" s="86">
        <v>9</v>
      </c>
      <c r="L11" s="137">
        <v>10</v>
      </c>
      <c r="M11" s="137">
        <v>11</v>
      </c>
      <c r="N11" s="71">
        <v>12</v>
      </c>
      <c r="O11" s="71">
        <v>13</v>
      </c>
      <c r="P11" s="71">
        <v>14</v>
      </c>
      <c r="Q11" s="67">
        <v>15</v>
      </c>
    </row>
    <row r="12" spans="1:17">
      <c r="A12" s="72" t="s">
        <v>14</v>
      </c>
      <c r="B12" s="72" t="s">
        <v>139</v>
      </c>
      <c r="C12" s="76">
        <f>+C13</f>
        <v>11</v>
      </c>
      <c r="D12" s="138">
        <f t="shared" ref="D12:O12" si="0">+D13</f>
        <v>11</v>
      </c>
      <c r="E12" s="138">
        <f t="shared" si="0"/>
        <v>0</v>
      </c>
      <c r="F12" s="138">
        <f t="shared" si="0"/>
        <v>1</v>
      </c>
      <c r="G12" s="138">
        <f t="shared" si="0"/>
        <v>10</v>
      </c>
      <c r="H12" s="138">
        <f t="shared" si="0"/>
        <v>0</v>
      </c>
      <c r="I12" s="138">
        <f t="shared" si="0"/>
        <v>0</v>
      </c>
      <c r="J12" s="138">
        <f t="shared" si="0"/>
        <v>0</v>
      </c>
      <c r="K12" s="138">
        <f t="shared" si="0"/>
        <v>0</v>
      </c>
      <c r="L12" s="138">
        <f t="shared" si="0"/>
        <v>2</v>
      </c>
      <c r="M12" s="138">
        <f t="shared" si="0"/>
        <v>4</v>
      </c>
      <c r="N12" s="138">
        <f t="shared" si="0"/>
        <v>4</v>
      </c>
      <c r="O12" s="138">
        <f t="shared" si="0"/>
        <v>0</v>
      </c>
      <c r="P12" s="76"/>
      <c r="Q12" s="73"/>
    </row>
    <row r="13" spans="1:17">
      <c r="A13" s="72" t="s">
        <v>13</v>
      </c>
      <c r="B13" s="72" t="s">
        <v>28</v>
      </c>
      <c r="C13" s="72">
        <f>+C14</f>
        <v>11</v>
      </c>
      <c r="D13" s="140">
        <f t="shared" ref="D13:O13" si="1">+D14</f>
        <v>11</v>
      </c>
      <c r="E13" s="140">
        <f t="shared" si="1"/>
        <v>0</v>
      </c>
      <c r="F13" s="140">
        <f t="shared" si="1"/>
        <v>1</v>
      </c>
      <c r="G13" s="140">
        <f t="shared" si="1"/>
        <v>10</v>
      </c>
      <c r="H13" s="140">
        <f t="shared" si="1"/>
        <v>0</v>
      </c>
      <c r="I13" s="140">
        <f t="shared" si="1"/>
        <v>0</v>
      </c>
      <c r="J13" s="140">
        <f t="shared" si="1"/>
        <v>0</v>
      </c>
      <c r="K13" s="140">
        <f t="shared" si="1"/>
        <v>0</v>
      </c>
      <c r="L13" s="140">
        <f t="shared" si="1"/>
        <v>2</v>
      </c>
      <c r="M13" s="140">
        <f t="shared" si="1"/>
        <v>4</v>
      </c>
      <c r="N13" s="140">
        <f t="shared" si="1"/>
        <v>4</v>
      </c>
      <c r="O13" s="140">
        <f t="shared" si="1"/>
        <v>0</v>
      </c>
      <c r="P13" s="72"/>
      <c r="Q13" s="73"/>
    </row>
    <row r="14" spans="1:17" ht="83.4">
      <c r="A14" s="70">
        <v>1</v>
      </c>
      <c r="B14" s="74" t="s">
        <v>259</v>
      </c>
      <c r="C14" s="74">
        <v>11</v>
      </c>
      <c r="D14" s="74">
        <v>11</v>
      </c>
      <c r="E14" s="74">
        <v>0</v>
      </c>
      <c r="F14" s="149">
        <v>1</v>
      </c>
      <c r="G14" s="74">
        <f>+H14+I14+J14+K14+L14+M14+N14+O14</f>
        <v>10</v>
      </c>
      <c r="H14" s="73"/>
      <c r="I14" s="73"/>
      <c r="J14" s="73"/>
      <c r="K14" s="147"/>
      <c r="L14" s="74">
        <v>2</v>
      </c>
      <c r="M14" s="74">
        <v>4</v>
      </c>
      <c r="N14" s="74">
        <v>4</v>
      </c>
      <c r="O14" s="74"/>
      <c r="P14" s="256" t="s">
        <v>569</v>
      </c>
      <c r="Q14" s="148" t="s">
        <v>274</v>
      </c>
    </row>
  </sheetData>
  <mergeCells count="23">
    <mergeCell ref="P3:Q3"/>
    <mergeCell ref="I8:I10"/>
    <mergeCell ref="J8:J10"/>
    <mergeCell ref="K8:K10"/>
    <mergeCell ref="G8:G10"/>
    <mergeCell ref="G7:O7"/>
    <mergeCell ref="A5:Q5"/>
    <mergeCell ref="A6:P6"/>
    <mergeCell ref="D9:D10"/>
    <mergeCell ref="E9:E10"/>
    <mergeCell ref="C7:E7"/>
    <mergeCell ref="C8:C10"/>
    <mergeCell ref="D8:E8"/>
    <mergeCell ref="A7:A10"/>
    <mergeCell ref="B7:B10"/>
    <mergeCell ref="P7:P10"/>
    <mergeCell ref="Q7:Q10"/>
    <mergeCell ref="F7:F10"/>
    <mergeCell ref="H8:H10"/>
    <mergeCell ref="N8:N10"/>
    <mergeCell ref="O8:O10"/>
    <mergeCell ref="M8:M10"/>
    <mergeCell ref="L8:L10"/>
  </mergeCells>
  <printOptions horizontalCentered="1"/>
  <pageMargins left="0.31496062992125984" right="0" top="0.35433070866141736" bottom="0"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BS 01.Giai ngan</vt:lpstr>
      <vt:lpstr>BS 02.Von DT</vt:lpstr>
      <vt:lpstr>BS 03.Von SN</vt:lpstr>
      <vt:lpstr>BS 04.Tổng hợp</vt:lpstr>
      <vt:lpstr>BS 05 XM</vt:lpstr>
      <vt:lpstr>BS 06 XM</vt:lpstr>
      <vt:lpstr>BS 07 XM</vt:lpstr>
      <vt:lpstr>BS 08. NQ 114</vt:lpstr>
      <vt:lpstr>BS 09. KDC</vt:lpstr>
      <vt:lpstr>BS 10. KDC</vt:lpstr>
      <vt:lpstr>BS 11 KDC</vt:lpstr>
      <vt:lpstr>BS 12 VUON</vt:lpstr>
      <vt:lpstr>BS 13 VUON</vt:lpstr>
      <vt:lpstr>'BS 01.Giai ngan'!Print_Titles</vt:lpstr>
      <vt:lpstr>'BS 02.Von DT'!Print_Titles</vt:lpstr>
      <vt:lpstr>'BS 03.Von SN'!Print_Titles</vt:lpstr>
      <vt:lpstr>'BS 08. NQ 114'!Print_Titles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2023-04-19T03:26:08Z</cp:lastPrinted>
  <dcterms:created xsi:type="dcterms:W3CDTF">2018-03-27T08:48:26Z</dcterms:created>
  <dcterms:modified xsi:type="dcterms:W3CDTF">2023-04-19T09:47:49Z</dcterms:modified>
</cp:coreProperties>
</file>